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05" activeTab="2"/>
  </bookViews>
  <sheets>
    <sheet name="Alkohol" sheetId="2" r:id="rId1"/>
    <sheet name="Vit C" sheetId="3" r:id="rId2"/>
    <sheet name="Alkohollic" sheetId="5" r:id="rId3"/>
    <sheet name="viskositas" sheetId="6" r:id="rId4"/>
    <sheet name="visco new" sheetId="7" r:id="rId5"/>
  </sheets>
  <calcPr calcId="124519"/>
</workbook>
</file>

<file path=xl/calcChain.xml><?xml version="1.0" encoding="utf-8"?>
<calcChain xmlns="http://schemas.openxmlformats.org/spreadsheetml/2006/main">
  <c r="K93" i="7"/>
  <c r="G93"/>
  <c r="M93" s="1"/>
  <c r="N93" s="1"/>
  <c r="K92"/>
  <c r="G92"/>
  <c r="M92" s="1"/>
  <c r="N92" s="1"/>
  <c r="K91"/>
  <c r="G91"/>
  <c r="M91" s="1"/>
  <c r="N91" s="1"/>
  <c r="K90"/>
  <c r="G90"/>
  <c r="M90" s="1"/>
  <c r="N90" s="1"/>
  <c r="K89"/>
  <c r="G89"/>
  <c r="M89" s="1"/>
  <c r="N89" s="1"/>
  <c r="K88"/>
  <c r="G88"/>
  <c r="M88" s="1"/>
  <c r="N88" s="1"/>
  <c r="K87"/>
  <c r="G87"/>
  <c r="M87" s="1"/>
  <c r="N87" s="1"/>
  <c r="K86"/>
  <c r="G86"/>
  <c r="M86" s="1"/>
  <c r="N86" s="1"/>
  <c r="K85"/>
  <c r="G85"/>
  <c r="M85" s="1"/>
  <c r="N85" s="1"/>
  <c r="K84"/>
  <c r="G84"/>
  <c r="M84" s="1"/>
  <c r="N84" s="1"/>
  <c r="K83"/>
  <c r="G83"/>
  <c r="M83" s="1"/>
  <c r="N83" s="1"/>
  <c r="K82"/>
  <c r="G82"/>
  <c r="M82" s="1"/>
  <c r="N82" s="1"/>
  <c r="K81"/>
  <c r="G81"/>
  <c r="M81" s="1"/>
  <c r="N81" s="1"/>
  <c r="K80"/>
  <c r="G80"/>
  <c r="M80" s="1"/>
  <c r="N80" s="1"/>
  <c r="K79"/>
  <c r="G79"/>
  <c r="M79" s="1"/>
  <c r="N79" s="1"/>
  <c r="K78"/>
  <c r="G78"/>
  <c r="M78" s="1"/>
  <c r="N78" s="1"/>
  <c r="K77"/>
  <c r="G77"/>
  <c r="M77" s="1"/>
  <c r="N77" s="1"/>
  <c r="K76"/>
  <c r="G76"/>
  <c r="M76" s="1"/>
  <c r="N76" s="1"/>
  <c r="K75"/>
  <c r="G75"/>
  <c r="M75" s="1"/>
  <c r="N75" s="1"/>
  <c r="K74"/>
  <c r="G74"/>
  <c r="M74" s="1"/>
  <c r="N74" s="1"/>
  <c r="K73"/>
  <c r="G73"/>
  <c r="M73" s="1"/>
  <c r="N73" s="1"/>
  <c r="K72"/>
  <c r="G72"/>
  <c r="M72" s="1"/>
  <c r="N72" s="1"/>
  <c r="K71"/>
  <c r="G71"/>
  <c r="M71" s="1"/>
  <c r="N71" s="1"/>
  <c r="K70"/>
  <c r="G70"/>
  <c r="M70" s="1"/>
  <c r="N70" s="1"/>
  <c r="C45" l="1"/>
  <c r="C44"/>
  <c r="C43"/>
  <c r="C42"/>
  <c r="C41"/>
  <c r="C40"/>
  <c r="C39"/>
  <c r="C38"/>
  <c r="C20"/>
  <c r="D35"/>
  <c r="D34"/>
  <c r="D33"/>
  <c r="D32"/>
  <c r="D31"/>
  <c r="D30"/>
  <c r="D29"/>
  <c r="D28"/>
  <c r="B35"/>
  <c r="B34"/>
  <c r="B33"/>
  <c r="B32"/>
  <c r="B31"/>
  <c r="B30"/>
  <c r="B29"/>
  <c r="Q35"/>
  <c r="O34"/>
  <c r="M33"/>
  <c r="K32"/>
  <c r="I31"/>
  <c r="G30"/>
  <c r="E29"/>
  <c r="B23"/>
  <c r="C21"/>
  <c r="C19"/>
  <c r="C18"/>
  <c r="B19"/>
  <c r="B18"/>
  <c r="D19"/>
  <c r="D18"/>
  <c r="B14"/>
  <c r="B13"/>
  <c r="B12"/>
  <c r="B11"/>
  <c r="I6"/>
  <c r="I5"/>
  <c r="I4"/>
  <c r="H6"/>
  <c r="H5"/>
  <c r="H4"/>
  <c r="G6"/>
  <c r="G5"/>
  <c r="G4"/>
  <c r="F6"/>
  <c r="F5"/>
  <c r="F4"/>
  <c r="E6"/>
  <c r="E5"/>
  <c r="E4"/>
  <c r="D6"/>
  <c r="D5"/>
  <c r="D4"/>
  <c r="C6"/>
  <c r="C5"/>
  <c r="C4"/>
  <c r="B6"/>
  <c r="B5"/>
  <c r="B4"/>
  <c r="J6"/>
  <c r="J5"/>
  <c r="I8"/>
  <c r="H8"/>
  <c r="G8"/>
  <c r="F8"/>
  <c r="E8"/>
  <c r="D8"/>
  <c r="C8"/>
  <c r="B8"/>
  <c r="R24" i="6"/>
  <c r="R23"/>
  <c r="R22"/>
  <c r="R2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4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50" i="5"/>
  <c r="E49"/>
  <c r="E48"/>
  <c r="E47"/>
  <c r="E46"/>
  <c r="E45"/>
  <c r="E44"/>
  <c r="E43"/>
  <c r="D51" i="3"/>
  <c r="D50"/>
  <c r="D49"/>
  <c r="D48"/>
  <c r="D47"/>
  <c r="D46"/>
  <c r="D45"/>
  <c r="D44"/>
  <c r="E30" i="7" l="1"/>
  <c r="E31"/>
  <c r="G31"/>
  <c r="E32"/>
  <c r="G32"/>
  <c r="I32"/>
  <c r="E33"/>
  <c r="G33"/>
  <c r="I33"/>
  <c r="K33"/>
  <c r="E34"/>
  <c r="G34"/>
  <c r="I34"/>
  <c r="K34"/>
  <c r="M34"/>
  <c r="E35"/>
  <c r="G35"/>
  <c r="I35"/>
  <c r="K35"/>
  <c r="M35"/>
  <c r="O35"/>
  <c r="B20"/>
  <c r="B21" s="1"/>
  <c r="J4"/>
  <c r="B7"/>
  <c r="C7"/>
  <c r="D7"/>
  <c r="E7"/>
  <c r="F7"/>
  <c r="G7"/>
  <c r="H7"/>
  <c r="I7"/>
  <c r="Q22" i="6"/>
  <c r="Q21"/>
  <c r="D40" i="3"/>
  <c r="D39"/>
  <c r="D38"/>
  <c r="D37"/>
  <c r="D36"/>
  <c r="D35"/>
  <c r="D34"/>
  <c r="D33"/>
  <c r="Q40"/>
  <c r="O39"/>
  <c r="M38"/>
  <c r="K37"/>
  <c r="I36"/>
  <c r="D20" i="7" l="1"/>
  <c r="B15"/>
  <c r="J8"/>
  <c r="J7"/>
  <c r="U7" i="6"/>
  <c r="U6"/>
  <c r="U5"/>
  <c r="R7"/>
  <c r="R6"/>
  <c r="R5"/>
  <c r="X7"/>
  <c r="X6"/>
  <c r="X5"/>
  <c r="Q7"/>
  <c r="Q6"/>
  <c r="Q5"/>
  <c r="T7"/>
  <c r="T6"/>
  <c r="T5"/>
  <c r="W7"/>
  <c r="W6"/>
  <c r="W5"/>
  <c r="S7"/>
  <c r="S6"/>
  <c r="S5"/>
  <c r="V7"/>
  <c r="V6"/>
  <c r="V5"/>
  <c r="U9"/>
  <c r="U8"/>
  <c r="R9"/>
  <c r="R8"/>
  <c r="X9"/>
  <c r="X8"/>
  <c r="T9"/>
  <c r="T8"/>
  <c r="W9"/>
  <c r="W8"/>
  <c r="S9"/>
  <c r="S8"/>
  <c r="Y7"/>
  <c r="Y6"/>
  <c r="V9"/>
  <c r="V8"/>
  <c r="Y5"/>
  <c r="Q8"/>
  <c r="Q9"/>
  <c r="Q23"/>
  <c r="Q24" s="1"/>
  <c r="E35" i="3"/>
  <c r="E36"/>
  <c r="E37"/>
  <c r="I37"/>
  <c r="E38"/>
  <c r="I38"/>
  <c r="K38"/>
  <c r="E39"/>
  <c r="I39"/>
  <c r="K39"/>
  <c r="M39"/>
  <c r="E40"/>
  <c r="I40"/>
  <c r="K40"/>
  <c r="M40"/>
  <c r="O40"/>
  <c r="E18" i="7" l="1"/>
  <c r="E19"/>
  <c r="Y9" i="6"/>
  <c r="Y8"/>
  <c r="Q13"/>
  <c r="Q14" s="1"/>
  <c r="Q16"/>
  <c r="Q9" i="3"/>
  <c r="R9"/>
  <c r="S9"/>
  <c r="T9"/>
  <c r="V9"/>
  <c r="W9"/>
  <c r="Q8"/>
  <c r="R8"/>
  <c r="S8"/>
  <c r="T8"/>
  <c r="V8"/>
  <c r="W8"/>
  <c r="X7"/>
  <c r="X5"/>
  <c r="P22"/>
  <c r="P21"/>
  <c r="K5"/>
  <c r="L5" s="1"/>
  <c r="M5" s="1"/>
  <c r="U6" s="1"/>
  <c r="U9" s="1"/>
  <c r="K6"/>
  <c r="L6" s="1"/>
  <c r="M6" s="1"/>
  <c r="U7" s="1"/>
  <c r="K7"/>
  <c r="L7" s="1"/>
  <c r="M7" s="1"/>
  <c r="R5" s="1"/>
  <c r="K8"/>
  <c r="L8" s="1"/>
  <c r="M8" s="1"/>
  <c r="R6" s="1"/>
  <c r="K9"/>
  <c r="L9" s="1"/>
  <c r="M9" s="1"/>
  <c r="R7" s="1"/>
  <c r="K10"/>
  <c r="L10" s="1"/>
  <c r="M10" s="1"/>
  <c r="V5" s="1"/>
  <c r="K11"/>
  <c r="L11" s="1"/>
  <c r="M11" s="1"/>
  <c r="V6" s="1"/>
  <c r="K12"/>
  <c r="L12" s="1"/>
  <c r="M12" s="1"/>
  <c r="V7" s="1"/>
  <c r="K13"/>
  <c r="L13" s="1"/>
  <c r="M13" s="1"/>
  <c r="S5" s="1"/>
  <c r="K14"/>
  <c r="L14" s="1"/>
  <c r="M14" s="1"/>
  <c r="S6" s="1"/>
  <c r="K15"/>
  <c r="L15" s="1"/>
  <c r="M15" s="1"/>
  <c r="S7" s="1"/>
  <c r="K16"/>
  <c r="L16" s="1"/>
  <c r="M16" s="1"/>
  <c r="P5" s="1"/>
  <c r="K17"/>
  <c r="L17" s="1"/>
  <c r="M17" s="1"/>
  <c r="P6" s="1"/>
  <c r="K18"/>
  <c r="L18" s="1"/>
  <c r="M18" s="1"/>
  <c r="P7" s="1"/>
  <c r="K19"/>
  <c r="L19" s="1"/>
  <c r="M19" s="1"/>
  <c r="W5" s="1"/>
  <c r="K20"/>
  <c r="L20" s="1"/>
  <c r="M20" s="1"/>
  <c r="W6" s="1"/>
  <c r="K21"/>
  <c r="L21" s="1"/>
  <c r="M21" s="1"/>
  <c r="W7" s="1"/>
  <c r="K22"/>
  <c r="L22" s="1"/>
  <c r="M22" s="1"/>
  <c r="Q5" s="1"/>
  <c r="K23"/>
  <c r="L23" s="1"/>
  <c r="M23" s="1"/>
  <c r="Q6" s="1"/>
  <c r="K24"/>
  <c r="L24" s="1"/>
  <c r="M24" s="1"/>
  <c r="Q7" s="1"/>
  <c r="K25"/>
  <c r="L25" s="1"/>
  <c r="M25" s="1"/>
  <c r="T5" s="1"/>
  <c r="K26"/>
  <c r="L26" s="1"/>
  <c r="M26" s="1"/>
  <c r="T6" s="1"/>
  <c r="K27"/>
  <c r="L27" s="1"/>
  <c r="M27" s="1"/>
  <c r="T7" s="1"/>
  <c r="M22" i="5"/>
  <c r="M21"/>
  <c r="T7"/>
  <c r="T6"/>
  <c r="T5"/>
  <c r="T9" s="1"/>
  <c r="E33" s="1"/>
  <c r="S7"/>
  <c r="S6"/>
  <c r="S5"/>
  <c r="S9" s="1"/>
  <c r="E34" s="1"/>
  <c r="F34" s="1"/>
  <c r="R7"/>
  <c r="R6"/>
  <c r="R5"/>
  <c r="R9" s="1"/>
  <c r="E35" s="1"/>
  <c r="H35" s="1"/>
  <c r="Q7"/>
  <c r="Q6"/>
  <c r="Q5"/>
  <c r="Q9" s="1"/>
  <c r="E36" s="1"/>
  <c r="J36" s="1"/>
  <c r="P7"/>
  <c r="P6"/>
  <c r="P5"/>
  <c r="P9" s="1"/>
  <c r="E37" s="1"/>
  <c r="L37" s="1"/>
  <c r="O7"/>
  <c r="O6"/>
  <c r="O5"/>
  <c r="O9" s="1"/>
  <c r="E38" s="1"/>
  <c r="N38" s="1"/>
  <c r="N7"/>
  <c r="N6"/>
  <c r="N5"/>
  <c r="N9" s="1"/>
  <c r="E39" s="1"/>
  <c r="P39" s="1"/>
  <c r="M7"/>
  <c r="U7" s="1"/>
  <c r="M6"/>
  <c r="U6" s="1"/>
  <c r="M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4"/>
  <c r="K4" i="3"/>
  <c r="L4" s="1"/>
  <c r="M4" s="1"/>
  <c r="U5" s="1"/>
  <c r="B21" i="2"/>
  <c r="B20"/>
  <c r="I8"/>
  <c r="I9" s="1"/>
  <c r="D32" s="1"/>
  <c r="H8"/>
  <c r="H9" s="1"/>
  <c r="D33" s="1"/>
  <c r="E33" s="1"/>
  <c r="G8"/>
  <c r="G9" s="1"/>
  <c r="D34" s="1"/>
  <c r="F8"/>
  <c r="F9" s="1"/>
  <c r="D35" s="1"/>
  <c r="E8"/>
  <c r="E9" s="1"/>
  <c r="D36" s="1"/>
  <c r="D8"/>
  <c r="D9" s="1"/>
  <c r="D37" s="1"/>
  <c r="C8"/>
  <c r="C9" s="1"/>
  <c r="D38" s="1"/>
  <c r="B8"/>
  <c r="J7"/>
  <c r="M6"/>
  <c r="J6"/>
  <c r="J5"/>
  <c r="S21" i="6" l="1"/>
  <c r="G35" i="3"/>
  <c r="E34"/>
  <c r="G36"/>
  <c r="G37"/>
  <c r="G38"/>
  <c r="G39"/>
  <c r="G40"/>
  <c r="X6"/>
  <c r="U8"/>
  <c r="P8"/>
  <c r="P9"/>
  <c r="P23"/>
  <c r="P24" s="1"/>
  <c r="F35" i="5"/>
  <c r="F36"/>
  <c r="H36"/>
  <c r="F37"/>
  <c r="H37"/>
  <c r="J37"/>
  <c r="F38"/>
  <c r="H38"/>
  <c r="J38"/>
  <c r="L38"/>
  <c r="F39"/>
  <c r="H39"/>
  <c r="J39"/>
  <c r="L39"/>
  <c r="N39"/>
  <c r="U5"/>
  <c r="M8"/>
  <c r="T8"/>
  <c r="S8"/>
  <c r="R8"/>
  <c r="Q8"/>
  <c r="P8"/>
  <c r="O8"/>
  <c r="N8"/>
  <c r="M9"/>
  <c r="E40" s="1"/>
  <c r="R40" s="1"/>
  <c r="M23"/>
  <c r="M24" s="1"/>
  <c r="J38" i="2"/>
  <c r="I38"/>
  <c r="H38"/>
  <c r="G38"/>
  <c r="F38"/>
  <c r="E38"/>
  <c r="I37"/>
  <c r="H37"/>
  <c r="G37"/>
  <c r="F37"/>
  <c r="E37"/>
  <c r="H36"/>
  <c r="G36"/>
  <c r="F36"/>
  <c r="E36"/>
  <c r="G35"/>
  <c r="F35"/>
  <c r="E35"/>
  <c r="F34"/>
  <c r="E34"/>
  <c r="J8"/>
  <c r="B9"/>
  <c r="D39" s="1"/>
  <c r="B22"/>
  <c r="B23" s="1"/>
  <c r="Q17" i="6" l="1"/>
  <c r="S23" s="1"/>
  <c r="X9" i="3"/>
  <c r="X8"/>
  <c r="P13"/>
  <c r="P14" s="1"/>
  <c r="P16"/>
  <c r="Q22" s="1"/>
  <c r="R22" s="1"/>
  <c r="P40" i="5"/>
  <c r="N40"/>
  <c r="L40"/>
  <c r="J40"/>
  <c r="H40"/>
  <c r="F40"/>
  <c r="U9"/>
  <c r="U8"/>
  <c r="M13" s="1"/>
  <c r="M14" s="1"/>
  <c r="M16"/>
  <c r="N22" s="1"/>
  <c r="O22" s="1"/>
  <c r="K39" i="2"/>
  <c r="J39"/>
  <c r="I39"/>
  <c r="H39"/>
  <c r="G39"/>
  <c r="F39"/>
  <c r="E39"/>
  <c r="B12"/>
  <c r="J9"/>
  <c r="Q24" i="3" l="1"/>
  <c r="P15"/>
  <c r="Q21" s="1"/>
  <c r="R21" s="1"/>
  <c r="N24" i="5"/>
  <c r="M15"/>
  <c r="N21" s="1"/>
  <c r="O21" s="1"/>
  <c r="B13" i="2"/>
  <c r="B15"/>
  <c r="C20" s="1"/>
  <c r="D20" s="1"/>
  <c r="B14"/>
  <c r="C21" s="1"/>
  <c r="D21" s="1"/>
  <c r="P17" i="3" l="1"/>
  <c r="Q23" s="1"/>
  <c r="R23" s="1"/>
  <c r="M17" i="5"/>
  <c r="N23" s="1"/>
  <c r="O23" s="1"/>
  <c r="C23" i="2"/>
  <c r="B16"/>
  <c r="C22" s="1"/>
  <c r="D22" s="1"/>
  <c r="B26" s="1"/>
  <c r="F21"/>
  <c r="F20"/>
  <c r="P26" i="3" l="1"/>
  <c r="S22"/>
  <c r="S21"/>
  <c r="P22" i="5"/>
  <c r="M26"/>
  <c r="P21"/>
  <c r="B39" i="2"/>
  <c r="B38"/>
  <c r="B37"/>
  <c r="B36"/>
  <c r="B35"/>
  <c r="B34"/>
  <c r="B33"/>
  <c r="B40" i="3" l="1"/>
  <c r="B39"/>
  <c r="B38"/>
  <c r="B37"/>
  <c r="B36"/>
  <c r="B35"/>
  <c r="B34"/>
  <c r="C40" i="5"/>
  <c r="C39"/>
  <c r="C38"/>
  <c r="C37"/>
  <c r="C36"/>
  <c r="C35"/>
  <c r="C34"/>
</calcChain>
</file>

<file path=xl/sharedStrings.xml><?xml version="1.0" encoding="utf-8"?>
<sst xmlns="http://schemas.openxmlformats.org/spreadsheetml/2006/main" count="515" uniqueCount="85">
  <si>
    <t>Kelompok</t>
  </si>
  <si>
    <t>Perlakuan</t>
  </si>
  <si>
    <t>Jumlah</t>
  </si>
  <si>
    <t>a1</t>
  </si>
  <si>
    <t>a2</t>
  </si>
  <si>
    <t>a3</t>
  </si>
  <si>
    <t>a4</t>
  </si>
  <si>
    <t>a5</t>
  </si>
  <si>
    <t>a6</t>
  </si>
  <si>
    <t>a7</t>
  </si>
  <si>
    <t>a8</t>
  </si>
  <si>
    <t>Rata-rata</t>
  </si>
  <si>
    <t>Faktor Koreksi (FK)</t>
  </si>
  <si>
    <t>JKT</t>
  </si>
  <si>
    <t>JKP</t>
  </si>
  <si>
    <t>JKK</t>
  </si>
  <si>
    <t>t</t>
  </si>
  <si>
    <t>r</t>
  </si>
  <si>
    <t>JKG</t>
  </si>
  <si>
    <t>Tabel ANAVA</t>
  </si>
  <si>
    <t>Sumber Variasi</t>
  </si>
  <si>
    <t>dB</t>
  </si>
  <si>
    <t>JK</t>
  </si>
  <si>
    <t>Fhitung</t>
  </si>
  <si>
    <t>Ftabel 5%</t>
  </si>
  <si>
    <t>Ftabel 1%</t>
  </si>
  <si>
    <t>Galat</t>
  </si>
  <si>
    <t>Total</t>
  </si>
  <si>
    <t>uji Lanjut Duncan</t>
  </si>
  <si>
    <t>sy</t>
  </si>
  <si>
    <t>Tabel Uji Lanjut Duncan</t>
  </si>
  <si>
    <t>SSR 5%</t>
  </si>
  <si>
    <t>LSR 5%</t>
  </si>
  <si>
    <t>Kode</t>
  </si>
  <si>
    <t>-</t>
  </si>
  <si>
    <t>a</t>
  </si>
  <si>
    <t>b</t>
  </si>
  <si>
    <t>c</t>
  </si>
  <si>
    <t>d</t>
  </si>
  <si>
    <t>e</t>
  </si>
  <si>
    <t>3.74</t>
  </si>
  <si>
    <t>2.76</t>
  </si>
  <si>
    <t>bc</t>
  </si>
  <si>
    <t>Data Mentah</t>
  </si>
  <si>
    <t>No</t>
  </si>
  <si>
    <t>Sampel</t>
  </si>
  <si>
    <t>Vb</t>
  </si>
  <si>
    <t>Vs</t>
  </si>
  <si>
    <t>Ws</t>
  </si>
  <si>
    <t>030</t>
  </si>
  <si>
    <t>Vt</t>
  </si>
  <si>
    <t>W vit c</t>
  </si>
  <si>
    <t>Kadar Vit C</t>
  </si>
  <si>
    <t>K</t>
  </si>
  <si>
    <t>F</t>
  </si>
  <si>
    <t>Vo</t>
  </si>
  <si>
    <t>W pikno</t>
  </si>
  <si>
    <t>W p+a</t>
  </si>
  <si>
    <t>W p+s</t>
  </si>
  <si>
    <t>% Alkohol</t>
  </si>
  <si>
    <t>∑ pengamatan=</t>
  </si>
  <si>
    <t>∑ perlakuan=</t>
  </si>
  <si>
    <t>∑ kelompok=</t>
  </si>
  <si>
    <t>FK</t>
  </si>
  <si>
    <t>6.51</t>
  </si>
  <si>
    <t>4.28</t>
  </si>
  <si>
    <t>taraf nyata</t>
  </si>
  <si>
    <t>tn</t>
  </si>
  <si>
    <t>*</t>
  </si>
  <si>
    <t>cd</t>
  </si>
  <si>
    <t>de</t>
  </si>
  <si>
    <t>BJ Alkohol</t>
  </si>
  <si>
    <t>Vpikno</t>
  </si>
  <si>
    <t>t air</t>
  </si>
  <si>
    <t>t sampel</t>
  </si>
  <si>
    <t>ρ air</t>
  </si>
  <si>
    <t>ρ sampel</t>
  </si>
  <si>
    <t>µ air</t>
  </si>
  <si>
    <t>µ sampel</t>
  </si>
  <si>
    <t>RJK</t>
  </si>
  <si>
    <t>rata-rata</t>
  </si>
  <si>
    <t>sampel</t>
  </si>
  <si>
    <t xml:space="preserve">sampel </t>
  </si>
  <si>
    <t>f</t>
  </si>
  <si>
    <t>g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</si>
</sst>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00"/>
    <numFmt numFmtId="166" formatCode="0.00000"/>
    <numFmt numFmtId="167" formatCode="0.000000"/>
    <numFmt numFmtId="168" formatCode="0.000000000"/>
    <numFmt numFmtId="169" formatCode="0.0000000000"/>
  </numFmts>
  <fonts count="6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2" fontId="3" fillId="0" borderId="0" xfId="0" applyNumberFormat="1" applyFont="1"/>
    <xf numFmtId="2" fontId="0" fillId="0" borderId="0" xfId="0" applyNumberFormat="1"/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9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/>
    <xf numFmtId="2" fontId="3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/>
    <xf numFmtId="2" fontId="2" fillId="0" borderId="13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2" fontId="1" fillId="0" borderId="8" xfId="0" applyNumberFormat="1" applyFont="1" applyBorder="1"/>
    <xf numFmtId="2" fontId="1" fillId="0" borderId="8" xfId="0" applyNumberFormat="1" applyFont="1" applyBorder="1" applyAlignment="1"/>
    <xf numFmtId="2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/>
    <xf numFmtId="1" fontId="2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2" fontId="2" fillId="0" borderId="0" xfId="0" applyNumberFormat="1" applyFont="1" applyFill="1" applyBorder="1"/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NumberFormat="1" applyFont="1"/>
    <xf numFmtId="0" fontId="3" fillId="0" borderId="8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vertical="top" wrapText="1"/>
    </xf>
    <xf numFmtId="0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/>
    <xf numFmtId="167" fontId="3" fillId="0" borderId="0" xfId="0" applyNumberFormat="1" applyFont="1"/>
    <xf numFmtId="168" fontId="3" fillId="0" borderId="0" xfId="0" applyNumberFormat="1" applyFont="1"/>
    <xf numFmtId="169" fontId="3" fillId="0" borderId="8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horizontal="right"/>
    </xf>
    <xf numFmtId="165" fontId="0" fillId="0" borderId="0" xfId="0" applyNumberFormat="1"/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0" fillId="0" borderId="1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/>
    <xf numFmtId="2" fontId="1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4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7FFD"/>
      <color rgb="FFD293F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view3D>
      <c:rotX val="0"/>
      <c:rotY val="0"/>
      <c:perspective val="30"/>
    </c:view3D>
    <c:sideWall>
      <c:spPr>
        <a:gradFill>
          <a:gsLst>
            <a:gs pos="0">
              <a:srgbClr val="D293F5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</a:gradFill>
      </c:spPr>
    </c:sideWall>
    <c:backWall>
      <c:spPr>
        <a:gradFill>
          <a:gsLst>
            <a:gs pos="0">
              <a:srgbClr val="D293F5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</a:gra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BB7FFD"/>
            </a:solidFill>
          </c:spPr>
          <c:dLbls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'Vit C'!$C$44:$C$51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'Vit C'!$D$44:$D$51</c:f>
              <c:numCache>
                <c:formatCode>0.00</c:formatCode>
                <c:ptCount val="8"/>
                <c:pt idx="0">
                  <c:v>47.349421167552428</c:v>
                </c:pt>
                <c:pt idx="1">
                  <c:v>45.050570592839783</c:v>
                </c:pt>
                <c:pt idx="2">
                  <c:v>33.821015119680304</c:v>
                </c:pt>
                <c:pt idx="3">
                  <c:v>20.292609071808187</c:v>
                </c:pt>
                <c:pt idx="4">
                  <c:v>20.292609071808187</c:v>
                </c:pt>
                <c:pt idx="5">
                  <c:v>13.528406047872123</c:v>
                </c:pt>
                <c:pt idx="6">
                  <c:v>13.528406047872123</c:v>
                </c:pt>
                <c:pt idx="7">
                  <c:v>6.7642030239360595</c:v>
                </c:pt>
              </c:numCache>
            </c:numRef>
          </c:val>
        </c:ser>
        <c:gapWidth val="47"/>
        <c:shape val="box"/>
        <c:axId val="76338304"/>
        <c:axId val="76340224"/>
        <c:axId val="0"/>
      </c:bar3DChart>
      <c:catAx>
        <c:axId val="7633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Sampel </a:t>
                </a:r>
              </a:p>
            </c:rich>
          </c:tx>
          <c:layout>
            <c:manualLayout>
              <c:xMode val="edge"/>
              <c:yMode val="edge"/>
              <c:x val="0.45561556465172626"/>
              <c:y val="0.88164287969920274"/>
            </c:manualLayout>
          </c:layout>
        </c:title>
        <c:majorTickMark val="none"/>
        <c:tickLblPos val="nextTo"/>
        <c:crossAx val="76340224"/>
        <c:crosses val="autoZero"/>
        <c:auto val="1"/>
        <c:lblAlgn val="ctr"/>
        <c:lblOffset val="100"/>
      </c:catAx>
      <c:valAx>
        <c:axId val="7634022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>
                    <a:latin typeface="Times New Roman" pitchFamily="18" charset="0"/>
                    <a:cs typeface="Times New Roman" pitchFamily="18" charset="0"/>
                  </a:rPr>
                  <a:t>Nilai Rata-rata Kadar Vitamin C Minuman</a:t>
                </a:r>
                <a:r>
                  <a:rPr lang="en-US" sz="1100" baseline="0">
                    <a:latin typeface="Times New Roman" pitchFamily="18" charset="0"/>
                    <a:cs typeface="Times New Roman" pitchFamily="18" charset="0"/>
                  </a:rPr>
                  <a:t> Sari Buah Salak Bongkok</a:t>
                </a:r>
                <a:endParaRPr lang="en-US" sz="11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9928930608875926E-2"/>
              <c:y val="7.2813128770106414E-2"/>
            </c:manualLayout>
          </c:layout>
        </c:title>
        <c:numFmt formatCode="0.00" sourceLinked="1"/>
        <c:tickLblPos val="nextTo"/>
        <c:crossAx val="76338304"/>
        <c:crosses val="autoZero"/>
        <c:crossBetween val="between"/>
      </c:valAx>
    </c:plotArea>
    <c:plotVisOnly val="1"/>
  </c:chart>
  <c:spPr>
    <a:gradFill>
      <a:gsLst>
        <a:gs pos="0">
          <a:srgbClr val="D293F5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</a:gradFill>
    <a:ln>
      <a:solidFill>
        <a:sysClr val="windowText" lastClr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'Vit C'!$C$44:$C$51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'Vit C'!$D$44:$D$51</c:f>
              <c:numCache>
                <c:formatCode>0.00</c:formatCode>
                <c:ptCount val="8"/>
                <c:pt idx="0">
                  <c:v>47.349421167552428</c:v>
                </c:pt>
                <c:pt idx="1">
                  <c:v>45.050570592839783</c:v>
                </c:pt>
                <c:pt idx="2">
                  <c:v>33.821015119680304</c:v>
                </c:pt>
                <c:pt idx="3">
                  <c:v>20.292609071808187</c:v>
                </c:pt>
                <c:pt idx="4">
                  <c:v>20.292609071808187</c:v>
                </c:pt>
                <c:pt idx="5">
                  <c:v>13.528406047872123</c:v>
                </c:pt>
                <c:pt idx="6">
                  <c:v>13.528406047872123</c:v>
                </c:pt>
                <c:pt idx="7">
                  <c:v>6.7642030239360595</c:v>
                </c:pt>
              </c:numCache>
            </c:numRef>
          </c:val>
        </c:ser>
        <c:gapWidth val="78"/>
        <c:gapDepth val="72"/>
        <c:shape val="box"/>
        <c:axId val="82209792"/>
        <c:axId val="82232448"/>
        <c:axId val="0"/>
      </c:bar3DChart>
      <c:catAx>
        <c:axId val="8220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latin typeface="Times New Roman" pitchFamily="18" charset="0"/>
                    <a:cs typeface="Times New Roman" pitchFamily="18" charset="0"/>
                  </a:rPr>
                  <a:t>Sampel 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5776246719160113"/>
              <c:y val="0.87014472149314681"/>
            </c:manualLayout>
          </c:layout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232448"/>
        <c:crosses val="autoZero"/>
        <c:auto val="1"/>
        <c:lblAlgn val="ctr"/>
        <c:lblOffset val="100"/>
      </c:catAx>
      <c:valAx>
        <c:axId val="8223244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latin typeface="Times New Roman" pitchFamily="18" charset="0"/>
                    <a:cs typeface="Times New Roman" pitchFamily="18" charset="0"/>
                  </a:rPr>
                  <a:t>Nilai Rata-rata Kadar Vitamin C Minuman Sari Buah Salak Bongkok</a:t>
                </a:r>
              </a:p>
            </c:rich>
          </c:tx>
          <c:layout>
            <c:manualLayout>
              <c:xMode val="edge"/>
              <c:yMode val="edge"/>
              <c:x val="3.5640419947506559E-2"/>
              <c:y val="6.0659813356663754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209792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showVal val="1"/>
          </c:dLbls>
          <c:cat>
            <c:strRef>
              <c:f>Alkohollic!$D$43:$D$50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Alkohollic!$E$43:$E$50</c:f>
              <c:numCache>
                <c:formatCode>0.00</c:formatCode>
                <c:ptCount val="8"/>
                <c:pt idx="0">
                  <c:v>1.1566666666666665</c:v>
                </c:pt>
                <c:pt idx="1">
                  <c:v>0.95666666666666667</c:v>
                </c:pt>
                <c:pt idx="2">
                  <c:v>0.87</c:v>
                </c:pt>
                <c:pt idx="3">
                  <c:v>0.69</c:v>
                </c:pt>
                <c:pt idx="4">
                  <c:v>0.69</c:v>
                </c:pt>
                <c:pt idx="5">
                  <c:v>0.6</c:v>
                </c:pt>
                <c:pt idx="6">
                  <c:v>0.31</c:v>
                </c:pt>
                <c:pt idx="7">
                  <c:v>0.31</c:v>
                </c:pt>
              </c:numCache>
            </c:numRef>
          </c:val>
        </c:ser>
        <c:gapWidth val="72"/>
        <c:gapDepth val="131"/>
        <c:shape val="box"/>
        <c:axId val="82666240"/>
        <c:axId val="82668160"/>
        <c:axId val="0"/>
      </c:bar3DChart>
      <c:catAx>
        <c:axId val="8266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>
            <c:manualLayout>
              <c:xMode val="edge"/>
              <c:yMode val="edge"/>
              <c:x val="0.48386526684164488"/>
              <c:y val="0.87480971128608942"/>
            </c:manualLayout>
          </c:layout>
        </c:title>
        <c:majorTickMark val="none"/>
        <c:tickLblPos val="nextTo"/>
        <c:crossAx val="82668160"/>
        <c:crosses val="autoZero"/>
        <c:auto val="1"/>
        <c:lblAlgn val="ctr"/>
        <c:lblOffset val="100"/>
      </c:catAx>
      <c:valAx>
        <c:axId val="8266816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 Alkohol Minuman Sari Buah Salak Bongkok</a:t>
                </a:r>
              </a:p>
            </c:rich>
          </c:tx>
          <c:layout>
            <c:manualLayout>
              <c:xMode val="edge"/>
              <c:yMode val="edge"/>
              <c:x val="3.8334426946631674E-2"/>
              <c:y val="5.1400554097404488E-2"/>
            </c:manualLayout>
          </c:layout>
        </c:title>
        <c:numFmt formatCode="0.00" sourceLinked="1"/>
        <c:tickLblPos val="nextTo"/>
        <c:crossAx val="826662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'visco new'!$B$38:$B$45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'visco new'!$C$38:$C$45</c:f>
              <c:numCache>
                <c:formatCode>0.0000</c:formatCode>
                <c:ptCount val="8"/>
                <c:pt idx="0">
                  <c:v>2.07058014798784E-2</c:v>
                </c:pt>
                <c:pt idx="1">
                  <c:v>1.4715053850136037E-2</c:v>
                </c:pt>
                <c:pt idx="2">
                  <c:v>1.393014272380144E-2</c:v>
                </c:pt>
                <c:pt idx="3">
                  <c:v>1.3556099440666684E-2</c:v>
                </c:pt>
                <c:pt idx="4">
                  <c:v>1.2563327482844383E-2</c:v>
                </c:pt>
                <c:pt idx="5">
                  <c:v>1.107490933039589E-2</c:v>
                </c:pt>
                <c:pt idx="6">
                  <c:v>1.0996835418993975E-2</c:v>
                </c:pt>
                <c:pt idx="7">
                  <c:v>1.047611076901519E-2</c:v>
                </c:pt>
              </c:numCache>
            </c:numRef>
          </c:val>
        </c:ser>
        <c:gapWidth val="75"/>
        <c:gapDepth val="73"/>
        <c:shape val="box"/>
        <c:axId val="85423232"/>
        <c:axId val="85425152"/>
        <c:axId val="0"/>
      </c:bar3DChart>
      <c:catAx>
        <c:axId val="8542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>
            <c:manualLayout>
              <c:xMode val="edge"/>
              <c:yMode val="edge"/>
              <c:x val="0.48043153980752407"/>
              <c:y val="0.87488079615048142"/>
            </c:manualLayout>
          </c:layout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5425152"/>
        <c:crosses val="autoZero"/>
        <c:auto val="1"/>
        <c:lblAlgn val="ctr"/>
        <c:lblOffset val="100"/>
      </c:catAx>
      <c:valAx>
        <c:axId val="854251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Viskositas Minuman Sari Buah Salak Bongkok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9311242344706914E-2"/>
              <c:y val="6.0185185185185168E-2"/>
            </c:manualLayout>
          </c:layout>
        </c:title>
        <c:numFmt formatCode="0.00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5423232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42</xdr:row>
      <xdr:rowOff>179294</xdr:rowOff>
    </xdr:from>
    <xdr:to>
      <xdr:col>14</xdr:col>
      <xdr:colOff>78442</xdr:colOff>
      <xdr:row>57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59</xdr:row>
      <xdr:rowOff>66675</xdr:rowOff>
    </xdr:from>
    <xdr:to>
      <xdr:col>13</xdr:col>
      <xdr:colOff>142875</xdr:colOff>
      <xdr:row>73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42</xdr:row>
      <xdr:rowOff>19050</xdr:rowOff>
    </xdr:from>
    <xdr:to>
      <xdr:col>13</xdr:col>
      <xdr:colOff>542925</xdr:colOff>
      <xdr:row>55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41</xdr:row>
      <xdr:rowOff>142875</xdr:rowOff>
    </xdr:from>
    <xdr:to>
      <xdr:col>11</xdr:col>
      <xdr:colOff>276225</xdr:colOff>
      <xdr:row>56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opLeftCell="A22" workbookViewId="0">
      <selection activeCell="D32" sqref="D32"/>
    </sheetView>
  </sheetViews>
  <sheetFormatPr defaultRowHeight="15"/>
  <cols>
    <col min="1" max="1" width="20.28515625" style="2" customWidth="1"/>
    <col min="2" max="2" width="14.28515625" style="2" customWidth="1"/>
    <col min="3" max="5" width="9.140625" style="2"/>
    <col min="6" max="6" width="12" style="2" customWidth="1"/>
    <col min="7" max="16384" width="9.140625" style="2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16.5" thickBot="1">
      <c r="A3" s="83" t="s">
        <v>0</v>
      </c>
      <c r="B3" s="85" t="s">
        <v>1</v>
      </c>
      <c r="C3" s="86"/>
      <c r="D3" s="86"/>
      <c r="E3" s="86"/>
      <c r="F3" s="86"/>
      <c r="G3" s="86"/>
      <c r="H3" s="86"/>
      <c r="I3" s="87"/>
      <c r="J3" s="83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6.5" thickBot="1">
      <c r="A4" s="84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88"/>
      <c r="K4" s="1"/>
      <c r="L4" s="1" t="s">
        <v>16</v>
      </c>
      <c r="M4" s="1">
        <v>8</v>
      </c>
      <c r="N4" s="1"/>
      <c r="O4" s="1"/>
      <c r="P4" s="1"/>
      <c r="Q4" s="1"/>
      <c r="R4" s="1"/>
      <c r="S4" s="1"/>
      <c r="T4" s="1"/>
    </row>
    <row r="5" spans="1:22" ht="16.5" thickBot="1">
      <c r="A5" s="32">
        <v>1</v>
      </c>
      <c r="B5" s="6">
        <v>1.1299999999999999</v>
      </c>
      <c r="C5" s="6">
        <v>0.87</v>
      </c>
      <c r="D5" s="6">
        <v>0.87</v>
      </c>
      <c r="E5" s="6">
        <v>0.6</v>
      </c>
      <c r="F5" s="6">
        <v>0.6</v>
      </c>
      <c r="G5" s="6">
        <v>0.6</v>
      </c>
      <c r="H5" s="6">
        <v>0.33</v>
      </c>
      <c r="I5" s="7">
        <v>0.33</v>
      </c>
      <c r="J5" s="8">
        <f t="shared" ref="J5:J7" si="0">SUM(B5:I5)</f>
        <v>5.33</v>
      </c>
      <c r="K5" s="1"/>
      <c r="L5" s="1" t="s">
        <v>17</v>
      </c>
      <c r="M5" s="1">
        <v>3</v>
      </c>
      <c r="N5" s="1"/>
      <c r="O5" s="1"/>
      <c r="P5" s="1"/>
      <c r="Q5" s="1"/>
      <c r="R5" s="1"/>
      <c r="S5" s="1"/>
      <c r="T5" s="1"/>
    </row>
    <row r="6" spans="1:22" ht="16.5" thickBot="1">
      <c r="A6" s="32">
        <v>2</v>
      </c>
      <c r="B6" s="6">
        <v>0.87</v>
      </c>
      <c r="C6" s="6">
        <v>0.87</v>
      </c>
      <c r="D6" s="6">
        <v>0.87</v>
      </c>
      <c r="E6" s="6">
        <v>0.6</v>
      </c>
      <c r="F6" s="6">
        <v>0.6</v>
      </c>
      <c r="G6" s="6">
        <v>0.33</v>
      </c>
      <c r="H6" s="6">
        <v>0</v>
      </c>
      <c r="I6" s="7">
        <v>0</v>
      </c>
      <c r="J6" s="8">
        <f t="shared" si="0"/>
        <v>4.1399999999999997</v>
      </c>
      <c r="K6" s="1"/>
      <c r="L6" s="1"/>
      <c r="M6" s="1">
        <f>(M4*M5)</f>
        <v>24</v>
      </c>
      <c r="N6" s="1"/>
      <c r="O6" s="1"/>
      <c r="P6" s="1"/>
      <c r="Q6" s="1"/>
      <c r="R6" s="1"/>
      <c r="S6" s="1"/>
      <c r="T6" s="1"/>
    </row>
    <row r="7" spans="1:22" ht="16.5" thickBot="1">
      <c r="A7" s="32">
        <v>3</v>
      </c>
      <c r="B7" s="6">
        <v>1.47</v>
      </c>
      <c r="C7" s="6">
        <v>1.1299999999999999</v>
      </c>
      <c r="D7" s="6">
        <v>0.87</v>
      </c>
      <c r="E7" s="6">
        <v>0.87</v>
      </c>
      <c r="F7" s="6">
        <v>0.87</v>
      </c>
      <c r="G7" s="6">
        <v>0.87</v>
      </c>
      <c r="H7" s="6">
        <v>0.6</v>
      </c>
      <c r="I7" s="7">
        <v>0.6</v>
      </c>
      <c r="J7" s="8">
        <f t="shared" si="0"/>
        <v>7.2799999999999994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6.5" thickBot="1">
      <c r="A8" s="3" t="s">
        <v>2</v>
      </c>
      <c r="B8" s="8">
        <f>SUM(B5:B7)</f>
        <v>3.4699999999999998</v>
      </c>
      <c r="C8" s="8">
        <f t="shared" ref="C8:J8" si="1">SUM(C5:C7)</f>
        <v>2.87</v>
      </c>
      <c r="D8" s="8">
        <f t="shared" si="1"/>
        <v>2.61</v>
      </c>
      <c r="E8" s="8">
        <f t="shared" si="1"/>
        <v>2.0699999999999998</v>
      </c>
      <c r="F8" s="8">
        <f t="shared" si="1"/>
        <v>2.0699999999999998</v>
      </c>
      <c r="G8" s="8">
        <f t="shared" si="1"/>
        <v>1.7999999999999998</v>
      </c>
      <c r="H8" s="8">
        <f t="shared" si="1"/>
        <v>0.92999999999999994</v>
      </c>
      <c r="I8" s="8">
        <f t="shared" si="1"/>
        <v>0.92999999999999994</v>
      </c>
      <c r="J8" s="8">
        <f t="shared" si="1"/>
        <v>16.75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16.5" thickBot="1">
      <c r="A9" s="3" t="s">
        <v>11</v>
      </c>
      <c r="B9" s="8">
        <f>B8/3</f>
        <v>1.1566666666666665</v>
      </c>
      <c r="C9" s="8">
        <f t="shared" ref="C9:J9" si="2">C8/3</f>
        <v>0.95666666666666667</v>
      </c>
      <c r="D9" s="8">
        <f t="shared" si="2"/>
        <v>0.87</v>
      </c>
      <c r="E9" s="8">
        <f t="shared" si="2"/>
        <v>0.69</v>
      </c>
      <c r="F9" s="8">
        <f t="shared" si="2"/>
        <v>0.69</v>
      </c>
      <c r="G9" s="8">
        <f t="shared" si="2"/>
        <v>0.6</v>
      </c>
      <c r="H9" s="8">
        <f t="shared" si="2"/>
        <v>0.31</v>
      </c>
      <c r="I9" s="8">
        <f t="shared" si="2"/>
        <v>0.31</v>
      </c>
      <c r="J9" s="8">
        <f t="shared" si="2"/>
        <v>5.583333333333333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5.75">
      <c r="A11" s="1"/>
      <c r="B11" s="1"/>
      <c r="C11" s="1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2" ht="15.75">
      <c r="A12" s="1" t="s">
        <v>12</v>
      </c>
      <c r="B12" s="1">
        <f>(J8^2)/M6</f>
        <v>11.690104166666666</v>
      </c>
      <c r="C12" s="1"/>
      <c r="D12" s="1"/>
      <c r="E12" s="1"/>
      <c r="F12" s="1">
        <v>3.74</v>
      </c>
      <c r="G12" s="1"/>
      <c r="H12" s="1"/>
      <c r="I12" s="1"/>
      <c r="J12" s="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</row>
    <row r="13" spans="1:22" ht="15.75">
      <c r="A13" s="1" t="s">
        <v>13</v>
      </c>
      <c r="B13" s="1">
        <f>(B5^2+C5^2+D5^2+E5^2+F5^2+G5^2+H5^2+I5^2+B6^2+C6^2+D6^2+E6^2+F6^2+G6^2+H6^2+I6^2+B7^2+C7^2+D7^2+E7^2+F7^2+G7^2+H7^2+I7^2)-B12</f>
        <v>2.6833958333333321</v>
      </c>
      <c r="C13" s="1"/>
      <c r="D13" s="1"/>
      <c r="E13" s="1"/>
      <c r="F13" s="1">
        <v>2.76</v>
      </c>
      <c r="G13" s="1"/>
      <c r="H13" s="1"/>
      <c r="I13" s="1"/>
      <c r="J13" s="1"/>
      <c r="K13" s="10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11"/>
    </row>
    <row r="14" spans="1:22" ht="15.75">
      <c r="A14" s="1" t="s">
        <v>14</v>
      </c>
      <c r="B14" s="1">
        <f>(B8^2+C8^2+D8^2+E8^2+F8^2+G8^2+H8^2+I8^2)/(M5)-B12</f>
        <v>1.8530625000000001</v>
      </c>
      <c r="C14" s="1"/>
      <c r="D14" s="1"/>
      <c r="E14" s="1"/>
      <c r="F14" s="1"/>
      <c r="G14" s="1"/>
      <c r="H14" s="1"/>
      <c r="I14" s="1"/>
      <c r="J14" s="1"/>
      <c r="K14" s="10"/>
      <c r="L14" s="82"/>
      <c r="M14" s="12"/>
      <c r="N14" s="12"/>
      <c r="O14" s="12"/>
      <c r="P14" s="12"/>
      <c r="Q14" s="12"/>
      <c r="R14" s="12"/>
      <c r="S14" s="12"/>
      <c r="T14" s="13"/>
      <c r="U14" s="82"/>
      <c r="V14" s="11"/>
    </row>
    <row r="15" spans="1:22" ht="15.75">
      <c r="A15" s="1" t="s">
        <v>15</v>
      </c>
      <c r="B15" s="1">
        <f>(J5^2+J6^2+J7^2)/(M4)-B12</f>
        <v>0.62825833333333314</v>
      </c>
      <c r="C15" s="1"/>
      <c r="D15" s="1"/>
      <c r="E15" s="1"/>
      <c r="F15" s="1"/>
      <c r="G15" s="1"/>
      <c r="H15" s="1"/>
      <c r="I15" s="1"/>
      <c r="J15" s="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</row>
    <row r="16" spans="1:22" ht="15.75">
      <c r="A16" s="1" t="s">
        <v>18</v>
      </c>
      <c r="B16" s="1">
        <f>(B13-B14-B15)</f>
        <v>0.20207499999999889</v>
      </c>
      <c r="C16" s="1"/>
      <c r="D16" s="1"/>
      <c r="E16" s="1"/>
      <c r="F16" s="1"/>
      <c r="G16" s="1"/>
      <c r="H16" s="1"/>
      <c r="I16" s="1"/>
      <c r="J16" s="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</row>
    <row r="17" spans="1:2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ht="16.5" thickBot="1">
      <c r="A18" s="1" t="s">
        <v>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1" ht="32.25" thickBot="1">
      <c r="A19" s="14" t="s">
        <v>20</v>
      </c>
      <c r="B19" s="15" t="s">
        <v>21</v>
      </c>
      <c r="C19" s="15" t="s">
        <v>22</v>
      </c>
      <c r="D19" s="89" t="s">
        <v>22</v>
      </c>
      <c r="E19" s="90"/>
      <c r="F19" s="15" t="s">
        <v>23</v>
      </c>
      <c r="G19" s="85" t="s">
        <v>24</v>
      </c>
      <c r="H19" s="87"/>
      <c r="I19" s="16" t="s">
        <v>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ht="16.5" thickBot="1">
      <c r="A20" s="17" t="s">
        <v>0</v>
      </c>
      <c r="B20" s="33">
        <f>(M5-1)</f>
        <v>2</v>
      </c>
      <c r="C20" s="18">
        <f>B15</f>
        <v>0.62825833333333314</v>
      </c>
      <c r="D20" s="91">
        <f>(C20/B20)</f>
        <v>0.31412916666666657</v>
      </c>
      <c r="E20" s="92"/>
      <c r="F20" s="18">
        <f>(D20/D22)</f>
        <v>21.763247968988527</v>
      </c>
      <c r="G20" s="93" t="s">
        <v>40</v>
      </c>
      <c r="H20" s="94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1" ht="16.5" thickBot="1">
      <c r="A21" s="17" t="s">
        <v>1</v>
      </c>
      <c r="B21" s="33">
        <f>(M4-1)</f>
        <v>7</v>
      </c>
      <c r="C21" s="18">
        <f>B14</f>
        <v>1.8530625000000001</v>
      </c>
      <c r="D21" s="91">
        <f>(C21/B21)</f>
        <v>0.26472321428571427</v>
      </c>
      <c r="E21" s="92"/>
      <c r="F21" s="18">
        <f>(D21/D22)</f>
        <v>18.340343931708624</v>
      </c>
      <c r="G21" s="93" t="s">
        <v>41</v>
      </c>
      <c r="H21" s="94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ht="16.5" thickBot="1">
      <c r="A22" s="17" t="s">
        <v>26</v>
      </c>
      <c r="B22" s="33">
        <f>(B20*B21)</f>
        <v>14</v>
      </c>
      <c r="C22" s="18">
        <f>B16</f>
        <v>0.20207499999999889</v>
      </c>
      <c r="D22" s="91">
        <f>(C22/B22)</f>
        <v>1.4433928571428492E-2</v>
      </c>
      <c r="E22" s="92"/>
      <c r="F22" s="95"/>
      <c r="G22" s="96"/>
      <c r="H22" s="97"/>
      <c r="I22" s="9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6.5" thickBot="1">
      <c r="A23" s="17" t="s">
        <v>27</v>
      </c>
      <c r="B23" s="33">
        <f>SUM(B20:B22)</f>
        <v>23</v>
      </c>
      <c r="C23" s="18">
        <f>B13</f>
        <v>2.6833958333333321</v>
      </c>
      <c r="D23" s="21"/>
      <c r="E23" s="98"/>
      <c r="F23" s="98"/>
      <c r="G23" s="98"/>
      <c r="H23" s="98"/>
      <c r="I23" s="9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ht="15.75">
      <c r="A25" s="1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ht="15.75">
      <c r="A26" s="1" t="s">
        <v>29</v>
      </c>
      <c r="B26" s="1">
        <f>(D22/M5)^0.5</f>
        <v>6.936360374007032E-2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ht="16.5" thickBot="1">
      <c r="A29" s="1" t="s">
        <v>30</v>
      </c>
      <c r="M29" s="1"/>
      <c r="N29" s="1"/>
      <c r="O29" s="1"/>
      <c r="P29" s="1"/>
      <c r="Q29" s="1"/>
      <c r="R29" s="1"/>
      <c r="S29" s="1"/>
      <c r="T29" s="1"/>
    </row>
    <row r="30" spans="1:21" ht="16.5" thickBot="1">
      <c r="A30" s="99" t="s">
        <v>31</v>
      </c>
      <c r="B30" s="22"/>
      <c r="C30" s="99" t="s">
        <v>33</v>
      </c>
      <c r="D30" s="99" t="s">
        <v>11</v>
      </c>
      <c r="E30" s="101" t="s">
        <v>1</v>
      </c>
      <c r="F30" s="102"/>
      <c r="G30" s="102"/>
      <c r="H30" s="102"/>
      <c r="I30" s="102"/>
      <c r="J30" s="102"/>
      <c r="K30" s="103"/>
      <c r="L30" s="23"/>
      <c r="M30" s="24"/>
      <c r="N30" s="1"/>
      <c r="O30" s="1"/>
      <c r="P30" s="1"/>
      <c r="Q30" s="1"/>
      <c r="R30" s="1"/>
      <c r="S30" s="1"/>
      <c r="T30" s="1"/>
      <c r="U30" s="1"/>
    </row>
    <row r="31" spans="1:21" ht="16.5" thickBot="1">
      <c r="A31" s="100"/>
      <c r="B31" s="25" t="s">
        <v>32</v>
      </c>
      <c r="C31" s="100"/>
      <c r="D31" s="100"/>
      <c r="E31" s="26">
        <v>1</v>
      </c>
      <c r="F31" s="26">
        <v>2</v>
      </c>
      <c r="G31" s="26">
        <v>3</v>
      </c>
      <c r="H31" s="26">
        <v>4</v>
      </c>
      <c r="I31" s="26">
        <v>5</v>
      </c>
      <c r="J31" s="26">
        <v>6</v>
      </c>
      <c r="K31" s="26">
        <v>7</v>
      </c>
      <c r="L31" s="26">
        <v>8</v>
      </c>
      <c r="M31" s="27"/>
      <c r="N31" s="1"/>
      <c r="O31" s="1"/>
      <c r="P31" s="1"/>
      <c r="Q31" s="1"/>
      <c r="R31" s="1"/>
      <c r="S31" s="1"/>
      <c r="T31" s="1"/>
      <c r="U31" s="1"/>
    </row>
    <row r="32" spans="1:21" ht="16.5" thickBot="1">
      <c r="A32" s="28" t="s">
        <v>34</v>
      </c>
      <c r="B32" s="29" t="s">
        <v>34</v>
      </c>
      <c r="C32" s="6" t="s">
        <v>10</v>
      </c>
      <c r="D32" s="8">
        <f>I9</f>
        <v>0.31</v>
      </c>
      <c r="E32" s="26" t="s">
        <v>34</v>
      </c>
      <c r="F32" s="26"/>
      <c r="G32" s="26"/>
      <c r="H32" s="26"/>
      <c r="I32" s="26"/>
      <c r="J32" s="6"/>
      <c r="K32" s="6"/>
      <c r="L32" s="6"/>
      <c r="M32" s="30" t="s">
        <v>35</v>
      </c>
      <c r="N32" s="1"/>
      <c r="O32" s="1"/>
      <c r="P32" s="1"/>
      <c r="Q32" s="1"/>
      <c r="R32" s="1"/>
      <c r="S32" s="1"/>
      <c r="T32" s="1"/>
      <c r="U32" s="1"/>
    </row>
    <row r="33" spans="1:13" ht="16.5" thickBot="1">
      <c r="A33" s="28">
        <v>3.03</v>
      </c>
      <c r="B33" s="29">
        <f>(B26*A33)</f>
        <v>0.21017171933241305</v>
      </c>
      <c r="C33" s="6" t="s">
        <v>9</v>
      </c>
      <c r="D33" s="8">
        <f>H9</f>
        <v>0.31</v>
      </c>
      <c r="E33" s="8">
        <f>(D33-D32)</f>
        <v>0</v>
      </c>
      <c r="F33" s="26" t="s">
        <v>34</v>
      </c>
      <c r="G33" s="26"/>
      <c r="H33" s="26"/>
      <c r="I33" s="26"/>
      <c r="J33" s="6"/>
      <c r="K33" s="6"/>
      <c r="L33" s="6"/>
      <c r="M33" s="30" t="s">
        <v>35</v>
      </c>
    </row>
    <row r="34" spans="1:13" ht="16.5" thickBot="1">
      <c r="A34" s="28">
        <v>3.18</v>
      </c>
      <c r="B34" s="29">
        <f>(B26*A34)</f>
        <v>0.22057625989342364</v>
      </c>
      <c r="C34" s="6" t="s">
        <v>8</v>
      </c>
      <c r="D34" s="8">
        <f>G9</f>
        <v>0.6</v>
      </c>
      <c r="E34" s="8">
        <f>(D34-D32)</f>
        <v>0.28999999999999998</v>
      </c>
      <c r="F34" s="8">
        <f>(D34-D33)</f>
        <v>0.28999999999999998</v>
      </c>
      <c r="G34" s="26" t="s">
        <v>34</v>
      </c>
      <c r="H34" s="26"/>
      <c r="I34" s="26"/>
      <c r="J34" s="6"/>
      <c r="K34" s="6"/>
      <c r="L34" s="6"/>
      <c r="M34" s="30" t="s">
        <v>36</v>
      </c>
    </row>
    <row r="35" spans="1:13" ht="16.5" thickBot="1">
      <c r="A35" s="28">
        <v>3.27</v>
      </c>
      <c r="B35" s="29">
        <f>(B26*A35)</f>
        <v>0.22681898423002994</v>
      </c>
      <c r="C35" s="6" t="s">
        <v>7</v>
      </c>
      <c r="D35" s="8">
        <f>F9</f>
        <v>0.69</v>
      </c>
      <c r="E35" s="8">
        <f>(D35-D32)</f>
        <v>0.37999999999999995</v>
      </c>
      <c r="F35" s="8">
        <f>(D35-D33)</f>
        <v>0.37999999999999995</v>
      </c>
      <c r="G35" s="8">
        <f>(D35-D34)</f>
        <v>8.9999999999999969E-2</v>
      </c>
      <c r="H35" s="26" t="s">
        <v>34</v>
      </c>
      <c r="I35" s="26"/>
      <c r="J35" s="6"/>
      <c r="K35" s="6"/>
      <c r="L35" s="6"/>
      <c r="M35" s="30" t="s">
        <v>42</v>
      </c>
    </row>
    <row r="36" spans="1:13" ht="16.5" thickBot="1">
      <c r="A36" s="28">
        <v>3.33</v>
      </c>
      <c r="B36" s="29">
        <f>(B26*A36)</f>
        <v>0.23098080045443417</v>
      </c>
      <c r="C36" s="6" t="s">
        <v>6</v>
      </c>
      <c r="D36" s="30">
        <f>E9</f>
        <v>0.69</v>
      </c>
      <c r="E36" s="30">
        <f>(D36-D32)</f>
        <v>0.37999999999999995</v>
      </c>
      <c r="F36" s="8">
        <f>(D36-D33)</f>
        <v>0.37999999999999995</v>
      </c>
      <c r="G36" s="8">
        <f>(D36-D34)</f>
        <v>8.9999999999999969E-2</v>
      </c>
      <c r="H36" s="30">
        <f>(D36-D35)</f>
        <v>0</v>
      </c>
      <c r="I36" s="6" t="s">
        <v>34</v>
      </c>
      <c r="J36" s="6"/>
      <c r="K36" s="6"/>
      <c r="L36" s="6"/>
      <c r="M36" s="30" t="s">
        <v>42</v>
      </c>
    </row>
    <row r="37" spans="1:13" ht="16.5" thickBot="1">
      <c r="A37" s="28">
        <v>3.37</v>
      </c>
      <c r="B37" s="29">
        <f>(B26*A37)</f>
        <v>0.23375534460403699</v>
      </c>
      <c r="C37" s="6" t="s">
        <v>5</v>
      </c>
      <c r="D37" s="30">
        <f>D9</f>
        <v>0.87</v>
      </c>
      <c r="E37" s="30">
        <f>(D37-D32)</f>
        <v>0.56000000000000005</v>
      </c>
      <c r="F37" s="8">
        <f>(D37-D33)</f>
        <v>0.56000000000000005</v>
      </c>
      <c r="G37" s="8">
        <f>(D37-D34)</f>
        <v>0.27</v>
      </c>
      <c r="H37" s="30">
        <f>(D37-D35)</f>
        <v>0.18000000000000005</v>
      </c>
      <c r="I37" s="30">
        <f>(D37-D36)</f>
        <v>0.18000000000000005</v>
      </c>
      <c r="J37" s="6" t="s">
        <v>34</v>
      </c>
      <c r="K37" s="6"/>
      <c r="L37" s="6"/>
      <c r="M37" s="30" t="s">
        <v>37</v>
      </c>
    </row>
    <row r="38" spans="1:13" ht="16.5" thickBot="1">
      <c r="A38" s="28">
        <v>3.39</v>
      </c>
      <c r="B38" s="29">
        <f>(B26*A38)</f>
        <v>0.2351426166788384</v>
      </c>
      <c r="C38" s="6" t="s">
        <v>4</v>
      </c>
      <c r="D38" s="30">
        <f>C9</f>
        <v>0.95666666666666667</v>
      </c>
      <c r="E38" s="30">
        <f>(D38-D32)</f>
        <v>0.64666666666666672</v>
      </c>
      <c r="F38" s="8">
        <f>(D38-D33)</f>
        <v>0.64666666666666672</v>
      </c>
      <c r="G38" s="8">
        <f>(D38-D34)</f>
        <v>0.35666666666666669</v>
      </c>
      <c r="H38" s="30">
        <f>(D38-D35)</f>
        <v>0.26666666666666672</v>
      </c>
      <c r="I38" s="30">
        <f>(D38-D36)</f>
        <v>0.26666666666666672</v>
      </c>
      <c r="J38" s="6">
        <f>(D38-D37)</f>
        <v>8.666666666666667E-2</v>
      </c>
      <c r="K38" s="6" t="s">
        <v>34</v>
      </c>
      <c r="L38" s="6"/>
      <c r="M38" s="30" t="s">
        <v>37</v>
      </c>
    </row>
    <row r="39" spans="1:13" ht="16.5" thickBot="1">
      <c r="A39" s="28">
        <v>3.41</v>
      </c>
      <c r="B39" s="29">
        <f>(B26*A39)</f>
        <v>0.23652988875363981</v>
      </c>
      <c r="C39" s="6" t="s">
        <v>3</v>
      </c>
      <c r="D39" s="30">
        <f>B9</f>
        <v>1.1566666666666665</v>
      </c>
      <c r="E39" s="30">
        <f>(D39-D32)</f>
        <v>0.84666666666666646</v>
      </c>
      <c r="F39" s="8">
        <f>(D39-D33)</f>
        <v>0.84666666666666646</v>
      </c>
      <c r="G39" s="8">
        <f>(D39-D34)</f>
        <v>0.55666666666666653</v>
      </c>
      <c r="H39" s="30">
        <f>(D39-D35)</f>
        <v>0.46666666666666656</v>
      </c>
      <c r="I39" s="30">
        <f>(D39-D36)</f>
        <v>0.46666666666666656</v>
      </c>
      <c r="J39" s="6">
        <f>(D39-D37)</f>
        <v>0.28666666666666651</v>
      </c>
      <c r="K39" s="6">
        <f>(D39-D38)</f>
        <v>0.19999999999999984</v>
      </c>
      <c r="L39" s="6" t="s">
        <v>34</v>
      </c>
      <c r="M39" s="30" t="s">
        <v>38</v>
      </c>
    </row>
    <row r="40" spans="1:13" ht="15.75">
      <c r="A40" s="1"/>
      <c r="C40" s="31"/>
    </row>
    <row r="41" spans="1:13" ht="15.75">
      <c r="A41" s="1"/>
    </row>
  </sheetData>
  <mergeCells count="20">
    <mergeCell ref="D22:E22"/>
    <mergeCell ref="F22:G22"/>
    <mergeCell ref="H22:I22"/>
    <mergeCell ref="E23:I23"/>
    <mergeCell ref="A30:A31"/>
    <mergeCell ref="C30:C31"/>
    <mergeCell ref="D30:D31"/>
    <mergeCell ref="E30:K30"/>
    <mergeCell ref="D19:E19"/>
    <mergeCell ref="G19:H19"/>
    <mergeCell ref="D20:E20"/>
    <mergeCell ref="G20:H20"/>
    <mergeCell ref="D21:E21"/>
    <mergeCell ref="G21:H21"/>
    <mergeCell ref="U13:U14"/>
    <mergeCell ref="A3:A4"/>
    <mergeCell ref="B3:I3"/>
    <mergeCell ref="J3:J4"/>
    <mergeCell ref="L13:L14"/>
    <mergeCell ref="M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1"/>
  <sheetViews>
    <sheetView topLeftCell="A49" workbookViewId="0">
      <selection activeCell="D76" sqref="D76"/>
    </sheetView>
  </sheetViews>
  <sheetFormatPr defaultRowHeight="15.75"/>
  <cols>
    <col min="1" max="12" width="9.140625" style="51"/>
    <col min="13" max="13" width="11.28515625" style="51" customWidth="1"/>
    <col min="14" max="14" width="9.140625" style="51"/>
    <col min="15" max="15" width="13" style="51" customWidth="1"/>
    <col min="16" max="18" width="9.140625" style="51"/>
    <col min="19" max="19" width="10.28515625" style="51" customWidth="1"/>
    <col min="20" max="20" width="10.85546875" style="51" customWidth="1"/>
    <col min="21" max="16384" width="9.140625" style="51"/>
  </cols>
  <sheetData>
    <row r="2" spans="1:24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1"/>
      <c r="M2" s="122"/>
    </row>
    <row r="3" spans="1:24">
      <c r="A3" s="52" t="s">
        <v>44</v>
      </c>
      <c r="B3" s="52" t="s">
        <v>45</v>
      </c>
      <c r="C3" s="52" t="s">
        <v>33</v>
      </c>
      <c r="D3" s="52" t="s">
        <v>48</v>
      </c>
      <c r="E3" s="52" t="s">
        <v>47</v>
      </c>
      <c r="F3" s="52" t="s">
        <v>46</v>
      </c>
      <c r="G3" s="52" t="s">
        <v>50</v>
      </c>
      <c r="H3" s="52" t="s">
        <v>55</v>
      </c>
      <c r="I3" s="52" t="s">
        <v>51</v>
      </c>
      <c r="J3" s="52" t="s">
        <v>17</v>
      </c>
      <c r="K3" s="52" t="s">
        <v>53</v>
      </c>
      <c r="L3" s="52" t="s">
        <v>54</v>
      </c>
      <c r="M3" s="52" t="s">
        <v>52</v>
      </c>
      <c r="O3" s="104" t="s">
        <v>0</v>
      </c>
      <c r="P3" s="106" t="s">
        <v>1</v>
      </c>
      <c r="Q3" s="107"/>
      <c r="R3" s="107"/>
      <c r="S3" s="107"/>
      <c r="T3" s="107"/>
      <c r="U3" s="107"/>
      <c r="V3" s="107"/>
      <c r="W3" s="108"/>
      <c r="X3" s="109" t="s">
        <v>2</v>
      </c>
    </row>
    <row r="4" spans="1:24">
      <c r="A4" s="118">
        <v>1</v>
      </c>
      <c r="B4" s="118" t="s">
        <v>8</v>
      </c>
      <c r="C4" s="123" t="s">
        <v>49</v>
      </c>
      <c r="D4" s="52">
        <v>5</v>
      </c>
      <c r="E4" s="52">
        <v>0.7</v>
      </c>
      <c r="F4" s="52">
        <v>0.5</v>
      </c>
      <c r="G4" s="52">
        <v>15</v>
      </c>
      <c r="H4" s="52">
        <v>10</v>
      </c>
      <c r="I4" s="52">
        <v>500</v>
      </c>
      <c r="J4" s="52">
        <v>1</v>
      </c>
      <c r="K4" s="52">
        <f>(I4/100)*(10/100)</f>
        <v>0.5</v>
      </c>
      <c r="L4" s="52">
        <f>(H4*K4)/(G4-F4)</f>
        <v>0.34482758620689657</v>
      </c>
      <c r="M4" s="9">
        <f>(((10)*(E4-F4)*L4)/D4)*100</f>
        <v>13.793103448275861</v>
      </c>
      <c r="O4" s="105"/>
      <c r="P4" s="53" t="s">
        <v>3</v>
      </c>
      <c r="Q4" s="53" t="s">
        <v>4</v>
      </c>
      <c r="R4" s="53" t="s">
        <v>5</v>
      </c>
      <c r="S4" s="53" t="s">
        <v>6</v>
      </c>
      <c r="T4" s="53" t="s">
        <v>7</v>
      </c>
      <c r="U4" s="53" t="s">
        <v>8</v>
      </c>
      <c r="V4" s="53" t="s">
        <v>9</v>
      </c>
      <c r="W4" s="53" t="s">
        <v>10</v>
      </c>
      <c r="X4" s="110"/>
    </row>
    <row r="5" spans="1:24">
      <c r="A5" s="119"/>
      <c r="B5" s="119"/>
      <c r="C5" s="124"/>
      <c r="D5" s="52">
        <v>5</v>
      </c>
      <c r="E5" s="52">
        <v>0.8</v>
      </c>
      <c r="F5" s="52">
        <v>0.6</v>
      </c>
      <c r="G5" s="52">
        <v>15</v>
      </c>
      <c r="H5" s="52">
        <v>10</v>
      </c>
      <c r="I5" s="52">
        <v>500</v>
      </c>
      <c r="J5" s="52">
        <v>2</v>
      </c>
      <c r="K5" s="52">
        <f t="shared" ref="K5:K27" si="0">(I5/100)*(10/100)</f>
        <v>0.5</v>
      </c>
      <c r="L5" s="52">
        <f t="shared" ref="L5:L27" si="1">(H5*K5)/(G5-F5)</f>
        <v>0.34722222222222221</v>
      </c>
      <c r="M5" s="9">
        <f t="shared" ref="M5:M27" si="2">(((10)*(E5-F5)*L5)/D5)*100</f>
        <v>13.888888888888895</v>
      </c>
      <c r="O5" s="53">
        <v>1</v>
      </c>
      <c r="P5" s="9">
        <f>M16</f>
        <v>48.275862068965516</v>
      </c>
      <c r="Q5" s="9">
        <f>M22</f>
        <v>41.379310344827594</v>
      </c>
      <c r="R5" s="9">
        <f>M7</f>
        <v>34.482758620689658</v>
      </c>
      <c r="S5" s="9">
        <f>M13</f>
        <v>20.689655172413797</v>
      </c>
      <c r="T5" s="9">
        <f>M25</f>
        <v>20.689655172413797</v>
      </c>
      <c r="U5" s="9">
        <f>M4</f>
        <v>13.793103448275861</v>
      </c>
      <c r="V5" s="9">
        <f>M10</f>
        <v>13.793103448275861</v>
      </c>
      <c r="W5" s="9">
        <f>M19</f>
        <v>6.8965517241379306</v>
      </c>
      <c r="X5" s="9">
        <f>SUM(P5:W5)</f>
        <v>200.00000000000006</v>
      </c>
    </row>
    <row r="6" spans="1:24">
      <c r="A6" s="119"/>
      <c r="B6" s="119"/>
      <c r="C6" s="124"/>
      <c r="D6" s="52">
        <v>5</v>
      </c>
      <c r="E6" s="52">
        <v>0.7</v>
      </c>
      <c r="F6" s="52">
        <v>0.5</v>
      </c>
      <c r="G6" s="52">
        <v>16</v>
      </c>
      <c r="H6" s="52">
        <v>10</v>
      </c>
      <c r="I6" s="52">
        <v>500</v>
      </c>
      <c r="J6" s="52">
        <v>3</v>
      </c>
      <c r="K6" s="52">
        <f t="shared" si="0"/>
        <v>0.5</v>
      </c>
      <c r="L6" s="52">
        <f t="shared" si="1"/>
        <v>0.32258064516129031</v>
      </c>
      <c r="M6" s="9">
        <f t="shared" si="2"/>
        <v>12.90322580645161</v>
      </c>
      <c r="O6" s="53">
        <v>2</v>
      </c>
      <c r="P6" s="9">
        <f>M17</f>
        <v>48.611111111111114</v>
      </c>
      <c r="Q6" s="9">
        <f>M23</f>
        <v>48.611111111111114</v>
      </c>
      <c r="R6" s="9">
        <f>M8</f>
        <v>34.722222222222229</v>
      </c>
      <c r="S6" s="9">
        <f>M14</f>
        <v>20.833333333333336</v>
      </c>
      <c r="T6" s="9">
        <f>M26</f>
        <v>20.833333333333336</v>
      </c>
      <c r="U6" s="9">
        <f>M5</f>
        <v>13.888888888888895</v>
      </c>
      <c r="V6" s="9">
        <f>M11</f>
        <v>13.888888888888895</v>
      </c>
      <c r="W6" s="9">
        <f>M20</f>
        <v>6.9444444444444438</v>
      </c>
      <c r="X6" s="9">
        <f t="shared" ref="X6:X7" si="3">SUM(P6:W6)</f>
        <v>208.33333333333337</v>
      </c>
    </row>
    <row r="7" spans="1:24">
      <c r="A7" s="118">
        <v>2</v>
      </c>
      <c r="B7" s="118" t="s">
        <v>5</v>
      </c>
      <c r="C7" s="118">
        <v>152</v>
      </c>
      <c r="D7" s="52">
        <v>5</v>
      </c>
      <c r="E7" s="52">
        <v>1</v>
      </c>
      <c r="F7" s="52">
        <v>0.5</v>
      </c>
      <c r="G7" s="52">
        <v>15</v>
      </c>
      <c r="H7" s="52">
        <v>10</v>
      </c>
      <c r="I7" s="52">
        <v>500</v>
      </c>
      <c r="J7" s="52">
        <v>1</v>
      </c>
      <c r="K7" s="52">
        <f t="shared" si="0"/>
        <v>0.5</v>
      </c>
      <c r="L7" s="52">
        <f t="shared" si="1"/>
        <v>0.34482758620689657</v>
      </c>
      <c r="M7" s="9">
        <f t="shared" si="2"/>
        <v>34.482758620689658</v>
      </c>
      <c r="O7" s="53">
        <v>3</v>
      </c>
      <c r="P7" s="9">
        <f>M18</f>
        <v>45.161290322580641</v>
      </c>
      <c r="Q7" s="9">
        <f>M24</f>
        <v>45.161290322580641</v>
      </c>
      <c r="R7" s="9">
        <f>M9</f>
        <v>32.258064516129032</v>
      </c>
      <c r="S7" s="9">
        <f>M15</f>
        <v>19.35483870967742</v>
      </c>
      <c r="T7" s="9">
        <f>M27</f>
        <v>19.35483870967742</v>
      </c>
      <c r="U7" s="9">
        <f>M6</f>
        <v>12.90322580645161</v>
      </c>
      <c r="V7" s="9">
        <f>M12</f>
        <v>12.90322580645161</v>
      </c>
      <c r="W7" s="9">
        <f>M21</f>
        <v>6.4516129032258052</v>
      </c>
      <c r="X7" s="9">
        <f t="shared" si="3"/>
        <v>193.54838709677415</v>
      </c>
    </row>
    <row r="8" spans="1:24">
      <c r="A8" s="119"/>
      <c r="B8" s="119"/>
      <c r="C8" s="119"/>
      <c r="D8" s="52">
        <v>5</v>
      </c>
      <c r="E8" s="52">
        <v>1.1000000000000001</v>
      </c>
      <c r="F8" s="52">
        <v>0.6</v>
      </c>
      <c r="G8" s="52">
        <v>15</v>
      </c>
      <c r="H8" s="52">
        <v>10</v>
      </c>
      <c r="I8" s="52">
        <v>500</v>
      </c>
      <c r="J8" s="52">
        <v>2</v>
      </c>
      <c r="K8" s="52">
        <f t="shared" si="0"/>
        <v>0.5</v>
      </c>
      <c r="L8" s="52">
        <f t="shared" si="1"/>
        <v>0.34722222222222221</v>
      </c>
      <c r="M8" s="9">
        <f t="shared" si="2"/>
        <v>34.722222222222229</v>
      </c>
      <c r="O8" s="53" t="s">
        <v>2</v>
      </c>
      <c r="P8" s="9">
        <f>SUM(P5:P7)</f>
        <v>142.04826350265728</v>
      </c>
      <c r="Q8" s="9">
        <f t="shared" ref="Q8:X8" si="4">SUM(Q5:Q7)</f>
        <v>135.15171177851934</v>
      </c>
      <c r="R8" s="9">
        <f t="shared" si="4"/>
        <v>101.4630453590409</v>
      </c>
      <c r="S8" s="9">
        <f t="shared" si="4"/>
        <v>60.87782721542456</v>
      </c>
      <c r="T8" s="9">
        <f t="shared" si="4"/>
        <v>60.87782721542456</v>
      </c>
      <c r="U8" s="9">
        <f t="shared" si="4"/>
        <v>40.585218143616366</v>
      </c>
      <c r="V8" s="9">
        <f t="shared" si="4"/>
        <v>40.585218143616366</v>
      </c>
      <c r="W8" s="9">
        <f t="shared" si="4"/>
        <v>20.29260907180818</v>
      </c>
      <c r="X8" s="9">
        <f t="shared" si="4"/>
        <v>601.88172043010763</v>
      </c>
    </row>
    <row r="9" spans="1:24">
      <c r="A9" s="119"/>
      <c r="B9" s="119"/>
      <c r="C9" s="119"/>
      <c r="D9" s="52">
        <v>5</v>
      </c>
      <c r="E9" s="52">
        <v>1</v>
      </c>
      <c r="F9" s="52">
        <v>0.5</v>
      </c>
      <c r="G9" s="52">
        <v>16</v>
      </c>
      <c r="H9" s="52">
        <v>10</v>
      </c>
      <c r="I9" s="52">
        <v>500</v>
      </c>
      <c r="J9" s="52">
        <v>3</v>
      </c>
      <c r="K9" s="52">
        <f t="shared" si="0"/>
        <v>0.5</v>
      </c>
      <c r="L9" s="52">
        <f t="shared" si="1"/>
        <v>0.32258064516129031</v>
      </c>
      <c r="M9" s="9">
        <f t="shared" si="2"/>
        <v>32.258064516129032</v>
      </c>
      <c r="O9" s="53" t="s">
        <v>11</v>
      </c>
      <c r="P9" s="9">
        <f>AVERAGE(P5:P7)</f>
        <v>47.349421167552428</v>
      </c>
      <c r="Q9" s="9">
        <f t="shared" ref="Q9:X9" si="5">AVERAGE(Q5:Q7)</f>
        <v>45.050570592839783</v>
      </c>
      <c r="R9" s="9">
        <f t="shared" si="5"/>
        <v>33.821015119680304</v>
      </c>
      <c r="S9" s="9">
        <f t="shared" si="5"/>
        <v>20.292609071808187</v>
      </c>
      <c r="T9" s="9">
        <f t="shared" si="5"/>
        <v>20.292609071808187</v>
      </c>
      <c r="U9" s="9">
        <f t="shared" si="5"/>
        <v>13.528406047872123</v>
      </c>
      <c r="V9" s="9">
        <f t="shared" si="5"/>
        <v>13.528406047872123</v>
      </c>
      <c r="W9" s="9">
        <f t="shared" si="5"/>
        <v>6.7642030239360595</v>
      </c>
      <c r="X9" s="9">
        <f t="shared" si="5"/>
        <v>200.62724014336922</v>
      </c>
    </row>
    <row r="10" spans="1:24">
      <c r="A10" s="118">
        <v>3</v>
      </c>
      <c r="B10" s="118" t="s">
        <v>9</v>
      </c>
      <c r="C10" s="118">
        <v>433</v>
      </c>
      <c r="D10" s="52">
        <v>5</v>
      </c>
      <c r="E10" s="52">
        <v>0.7</v>
      </c>
      <c r="F10" s="52">
        <v>0.5</v>
      </c>
      <c r="G10" s="52">
        <v>15</v>
      </c>
      <c r="H10" s="52">
        <v>10</v>
      </c>
      <c r="I10" s="52">
        <v>500</v>
      </c>
      <c r="J10" s="52">
        <v>1</v>
      </c>
      <c r="K10" s="52">
        <f t="shared" si="0"/>
        <v>0.5</v>
      </c>
      <c r="L10" s="52">
        <f t="shared" si="1"/>
        <v>0.34482758620689657</v>
      </c>
      <c r="M10" s="9">
        <f t="shared" si="2"/>
        <v>13.793103448275861</v>
      </c>
    </row>
    <row r="11" spans="1:24">
      <c r="A11" s="119"/>
      <c r="B11" s="119"/>
      <c r="C11" s="119"/>
      <c r="D11" s="52">
        <v>5</v>
      </c>
      <c r="E11" s="52">
        <v>0.8</v>
      </c>
      <c r="F11" s="52">
        <v>0.6</v>
      </c>
      <c r="G11" s="52">
        <v>15</v>
      </c>
      <c r="H11" s="52">
        <v>10</v>
      </c>
      <c r="I11" s="52">
        <v>500</v>
      </c>
      <c r="J11" s="52">
        <v>2</v>
      </c>
      <c r="K11" s="52">
        <f t="shared" si="0"/>
        <v>0.5</v>
      </c>
      <c r="L11" s="52">
        <f t="shared" si="1"/>
        <v>0.34722222222222221</v>
      </c>
      <c r="M11" s="9">
        <f t="shared" si="2"/>
        <v>13.888888888888895</v>
      </c>
      <c r="O11" s="51" t="s">
        <v>60</v>
      </c>
      <c r="P11" s="54">
        <v>24</v>
      </c>
      <c r="Q11" s="51" t="s">
        <v>61</v>
      </c>
      <c r="R11" s="54">
        <v>8</v>
      </c>
      <c r="S11" s="51" t="s">
        <v>62</v>
      </c>
      <c r="T11" s="54">
        <v>3</v>
      </c>
    </row>
    <row r="12" spans="1:24">
      <c r="A12" s="119"/>
      <c r="B12" s="119"/>
      <c r="C12" s="119"/>
      <c r="D12" s="52">
        <v>5</v>
      </c>
      <c r="E12" s="52">
        <v>0.7</v>
      </c>
      <c r="F12" s="52">
        <v>0.5</v>
      </c>
      <c r="G12" s="52">
        <v>16</v>
      </c>
      <c r="H12" s="52">
        <v>10</v>
      </c>
      <c r="I12" s="52">
        <v>500</v>
      </c>
      <c r="J12" s="52">
        <v>3</v>
      </c>
      <c r="K12" s="52">
        <f t="shared" si="0"/>
        <v>0.5</v>
      </c>
      <c r="L12" s="52">
        <f t="shared" si="1"/>
        <v>0.32258064516129031</v>
      </c>
      <c r="M12" s="9">
        <f t="shared" si="2"/>
        <v>12.90322580645161</v>
      </c>
    </row>
    <row r="13" spans="1:24">
      <c r="A13" s="118">
        <v>4</v>
      </c>
      <c r="B13" s="118" t="s">
        <v>6</v>
      </c>
      <c r="C13" s="118">
        <v>510</v>
      </c>
      <c r="D13" s="52">
        <v>5</v>
      </c>
      <c r="E13" s="52">
        <v>0.8</v>
      </c>
      <c r="F13" s="52">
        <v>0.5</v>
      </c>
      <c r="G13" s="52">
        <v>15</v>
      </c>
      <c r="H13" s="52">
        <v>10</v>
      </c>
      <c r="I13" s="52">
        <v>500</v>
      </c>
      <c r="J13" s="52">
        <v>1</v>
      </c>
      <c r="K13" s="52">
        <f t="shared" si="0"/>
        <v>0.5</v>
      </c>
      <c r="L13" s="52">
        <f t="shared" si="1"/>
        <v>0.34482758620689657</v>
      </c>
      <c r="M13" s="9">
        <f t="shared" si="2"/>
        <v>20.689655172413797</v>
      </c>
      <c r="O13" s="51" t="s">
        <v>63</v>
      </c>
      <c r="P13" s="51">
        <f>(X8^2)/P11</f>
        <v>15094.233557829428</v>
      </c>
    </row>
    <row r="14" spans="1:24">
      <c r="A14" s="119"/>
      <c r="B14" s="119"/>
      <c r="C14" s="119"/>
      <c r="D14" s="52">
        <v>5</v>
      </c>
      <c r="E14" s="52">
        <v>0.9</v>
      </c>
      <c r="F14" s="52">
        <v>0.6</v>
      </c>
      <c r="G14" s="52">
        <v>15</v>
      </c>
      <c r="H14" s="52">
        <v>10</v>
      </c>
      <c r="I14" s="52">
        <v>500</v>
      </c>
      <c r="J14" s="52">
        <v>2</v>
      </c>
      <c r="K14" s="52">
        <f t="shared" si="0"/>
        <v>0.5</v>
      </c>
      <c r="L14" s="52">
        <f t="shared" si="1"/>
        <v>0.34722222222222221</v>
      </c>
      <c r="M14" s="9">
        <f t="shared" si="2"/>
        <v>20.833333333333336</v>
      </c>
      <c r="O14" s="51" t="s">
        <v>13</v>
      </c>
      <c r="P14" s="51">
        <f>((P5)^2+(Q5)^2+(R5)^2+(S5)^2+(T5)^2+(U5)^2+(V5)^2+(W5)^2+(P6)^2+(Q6)^2+(R6)^2+(S6)^2+(T6)^2+(U6)^2+(V6)^2+(W6)^2+(P7)^2+(Q7)^2+(R7)^2+(S7)^2+(T7)^2+(U7)^2+(V7)^2+(W7)^2)-P13</f>
        <v>4899.1114150955746</v>
      </c>
    </row>
    <row r="15" spans="1:24">
      <c r="A15" s="119"/>
      <c r="B15" s="119"/>
      <c r="C15" s="119"/>
      <c r="D15" s="52">
        <v>5</v>
      </c>
      <c r="E15" s="52">
        <v>0.8</v>
      </c>
      <c r="F15" s="52">
        <v>0.5</v>
      </c>
      <c r="G15" s="52">
        <v>16</v>
      </c>
      <c r="H15" s="52">
        <v>10</v>
      </c>
      <c r="I15" s="52">
        <v>500</v>
      </c>
      <c r="J15" s="52">
        <v>3</v>
      </c>
      <c r="K15" s="52">
        <f t="shared" si="0"/>
        <v>0.5</v>
      </c>
      <c r="L15" s="52">
        <f t="shared" si="1"/>
        <v>0.32258064516129031</v>
      </c>
      <c r="M15" s="9">
        <f t="shared" si="2"/>
        <v>19.35483870967742</v>
      </c>
      <c r="O15" s="51" t="s">
        <v>15</v>
      </c>
      <c r="P15" s="51">
        <f>(((X5)^2+(X6)^2+(X7)^2)/R11)-P13</f>
        <v>13.735932863140988</v>
      </c>
    </row>
    <row r="16" spans="1:24">
      <c r="A16" s="118">
        <v>5</v>
      </c>
      <c r="B16" s="118" t="s">
        <v>3</v>
      </c>
      <c r="C16" s="118">
        <v>714</v>
      </c>
      <c r="D16" s="52">
        <v>5</v>
      </c>
      <c r="E16" s="52">
        <v>1.2</v>
      </c>
      <c r="F16" s="52">
        <v>0.5</v>
      </c>
      <c r="G16" s="52">
        <v>15</v>
      </c>
      <c r="H16" s="52">
        <v>10</v>
      </c>
      <c r="I16" s="52">
        <v>500</v>
      </c>
      <c r="J16" s="52">
        <v>1</v>
      </c>
      <c r="K16" s="52">
        <f t="shared" si="0"/>
        <v>0.5</v>
      </c>
      <c r="L16" s="52">
        <f t="shared" si="1"/>
        <v>0.34482758620689657</v>
      </c>
      <c r="M16" s="9">
        <f t="shared" si="2"/>
        <v>48.275862068965516</v>
      </c>
      <c r="O16" s="51" t="s">
        <v>14</v>
      </c>
      <c r="P16" s="51">
        <f>(((P8)^2+(Q8)^2+(R8)^2+(S8)^2+(T8)^2+(U8)^2+(V8)^2+(W8)^2)/T11)-P13</f>
        <v>4858.0242667466973</v>
      </c>
    </row>
    <row r="17" spans="1:25">
      <c r="A17" s="119"/>
      <c r="B17" s="119"/>
      <c r="C17" s="119"/>
      <c r="D17" s="52">
        <v>5</v>
      </c>
      <c r="E17" s="52">
        <v>1.3</v>
      </c>
      <c r="F17" s="52">
        <v>0.6</v>
      </c>
      <c r="G17" s="52">
        <v>15</v>
      </c>
      <c r="H17" s="52">
        <v>10</v>
      </c>
      <c r="I17" s="52">
        <v>500</v>
      </c>
      <c r="J17" s="52">
        <v>2</v>
      </c>
      <c r="K17" s="52">
        <f t="shared" si="0"/>
        <v>0.5</v>
      </c>
      <c r="L17" s="52">
        <f t="shared" si="1"/>
        <v>0.34722222222222221</v>
      </c>
      <c r="M17" s="9">
        <f t="shared" si="2"/>
        <v>48.611111111111114</v>
      </c>
      <c r="O17" s="51" t="s">
        <v>18</v>
      </c>
      <c r="P17" s="51">
        <f>(P14-P15-P16)</f>
        <v>27.351215485736248</v>
      </c>
    </row>
    <row r="18" spans="1:25">
      <c r="A18" s="119"/>
      <c r="B18" s="119"/>
      <c r="C18" s="119"/>
      <c r="D18" s="52">
        <v>5</v>
      </c>
      <c r="E18" s="52">
        <v>1.2</v>
      </c>
      <c r="F18" s="52">
        <v>0.5</v>
      </c>
      <c r="G18" s="52">
        <v>16</v>
      </c>
      <c r="H18" s="52">
        <v>10</v>
      </c>
      <c r="I18" s="52">
        <v>500</v>
      </c>
      <c r="J18" s="52">
        <v>3</v>
      </c>
      <c r="K18" s="52">
        <f t="shared" si="0"/>
        <v>0.5</v>
      </c>
      <c r="L18" s="52">
        <f t="shared" si="1"/>
        <v>0.32258064516129031</v>
      </c>
      <c r="M18" s="9">
        <f t="shared" si="2"/>
        <v>45.161290322580641</v>
      </c>
    </row>
    <row r="19" spans="1:25">
      <c r="A19" s="118">
        <v>6</v>
      </c>
      <c r="B19" s="118" t="s">
        <v>10</v>
      </c>
      <c r="C19" s="118">
        <v>745</v>
      </c>
      <c r="D19" s="52">
        <v>5</v>
      </c>
      <c r="E19" s="52">
        <v>0.6</v>
      </c>
      <c r="F19" s="52">
        <v>0.5</v>
      </c>
      <c r="G19" s="52">
        <v>15</v>
      </c>
      <c r="H19" s="52">
        <v>10</v>
      </c>
      <c r="I19" s="52">
        <v>500</v>
      </c>
      <c r="J19" s="52">
        <v>1</v>
      </c>
      <c r="K19" s="52">
        <f t="shared" si="0"/>
        <v>0.5</v>
      </c>
      <c r="L19" s="52">
        <f t="shared" si="1"/>
        <v>0.34482758620689657</v>
      </c>
      <c r="M19" s="9">
        <f t="shared" si="2"/>
        <v>6.8965517241379306</v>
      </c>
      <c r="O19" s="1" t="s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19"/>
      <c r="B20" s="119"/>
      <c r="C20" s="119"/>
      <c r="D20" s="52">
        <v>5</v>
      </c>
      <c r="E20" s="52">
        <v>0.7</v>
      </c>
      <c r="F20" s="52">
        <v>0.6</v>
      </c>
      <c r="G20" s="52">
        <v>15</v>
      </c>
      <c r="H20" s="52">
        <v>10</v>
      </c>
      <c r="I20" s="52">
        <v>500</v>
      </c>
      <c r="J20" s="52">
        <v>2</v>
      </c>
      <c r="K20" s="52">
        <f t="shared" si="0"/>
        <v>0.5</v>
      </c>
      <c r="L20" s="52">
        <f t="shared" si="1"/>
        <v>0.34722222222222221</v>
      </c>
      <c r="M20" s="9">
        <f t="shared" si="2"/>
        <v>6.9444444444444438</v>
      </c>
      <c r="O20" s="34" t="s">
        <v>20</v>
      </c>
      <c r="P20" s="34" t="s">
        <v>21</v>
      </c>
      <c r="Q20" s="34" t="s">
        <v>22</v>
      </c>
      <c r="R20" s="35" t="s">
        <v>79</v>
      </c>
      <c r="S20" s="34" t="s">
        <v>23</v>
      </c>
      <c r="T20" s="36" t="s">
        <v>24</v>
      </c>
      <c r="U20" s="37" t="s">
        <v>25</v>
      </c>
      <c r="V20" s="55"/>
      <c r="W20" s="1"/>
      <c r="X20" s="1"/>
      <c r="Y20" s="1"/>
    </row>
    <row r="21" spans="1:25">
      <c r="A21" s="119"/>
      <c r="B21" s="119"/>
      <c r="C21" s="119"/>
      <c r="D21" s="52">
        <v>5</v>
      </c>
      <c r="E21" s="52">
        <v>0.6</v>
      </c>
      <c r="F21" s="52">
        <v>0.5</v>
      </c>
      <c r="G21" s="52">
        <v>16</v>
      </c>
      <c r="H21" s="52">
        <v>10</v>
      </c>
      <c r="I21" s="52">
        <v>500</v>
      </c>
      <c r="J21" s="52">
        <v>3</v>
      </c>
      <c r="K21" s="52">
        <f t="shared" si="0"/>
        <v>0.5</v>
      </c>
      <c r="L21" s="52">
        <f t="shared" si="1"/>
        <v>0.32258064516129031</v>
      </c>
      <c r="M21" s="9">
        <f t="shared" si="2"/>
        <v>6.4516129032258052</v>
      </c>
      <c r="O21" s="38" t="s">
        <v>0</v>
      </c>
      <c r="P21" s="39">
        <f>T11-1</f>
        <v>2</v>
      </c>
      <c r="Q21" s="40">
        <f>P15</f>
        <v>13.735932863140988</v>
      </c>
      <c r="R21" s="40">
        <f>Q21/P21</f>
        <v>6.867966431570494</v>
      </c>
      <c r="S21" s="40">
        <f>R21/R23</f>
        <v>3.5154390155761184</v>
      </c>
      <c r="T21" s="56">
        <v>3.47</v>
      </c>
      <c r="U21" s="41" t="s">
        <v>64</v>
      </c>
      <c r="V21" s="1"/>
      <c r="W21" s="1"/>
      <c r="X21" s="1"/>
      <c r="Y21" s="1"/>
    </row>
    <row r="22" spans="1:25">
      <c r="A22" s="118">
        <v>7</v>
      </c>
      <c r="B22" s="118" t="s">
        <v>4</v>
      </c>
      <c r="C22" s="118">
        <v>794</v>
      </c>
      <c r="D22" s="52">
        <v>5</v>
      </c>
      <c r="E22" s="52">
        <v>1.1000000000000001</v>
      </c>
      <c r="F22" s="52">
        <v>0.5</v>
      </c>
      <c r="G22" s="52">
        <v>15</v>
      </c>
      <c r="H22" s="52">
        <v>10</v>
      </c>
      <c r="I22" s="52">
        <v>500</v>
      </c>
      <c r="J22" s="52">
        <v>1</v>
      </c>
      <c r="K22" s="52">
        <f t="shared" si="0"/>
        <v>0.5</v>
      </c>
      <c r="L22" s="52">
        <f t="shared" si="1"/>
        <v>0.34482758620689657</v>
      </c>
      <c r="M22" s="9">
        <f t="shared" si="2"/>
        <v>41.379310344827594</v>
      </c>
      <c r="O22" s="38" t="s">
        <v>1</v>
      </c>
      <c r="P22" s="39">
        <f>R11-1</f>
        <v>7</v>
      </c>
      <c r="Q22" s="40">
        <f>P16</f>
        <v>4858.0242667466973</v>
      </c>
      <c r="R22" s="40">
        <f>Q22/P22</f>
        <v>694.00346667809958</v>
      </c>
      <c r="S22" s="56">
        <f>R22/R23</f>
        <v>355.23278804776874</v>
      </c>
      <c r="T22" s="56">
        <v>2.76</v>
      </c>
      <c r="U22" s="41" t="s">
        <v>65</v>
      </c>
      <c r="V22" s="1"/>
      <c r="W22" s="1"/>
      <c r="X22" s="1"/>
      <c r="Y22" s="1"/>
    </row>
    <row r="23" spans="1:25">
      <c r="A23" s="119"/>
      <c r="B23" s="119"/>
      <c r="C23" s="119"/>
      <c r="D23" s="52">
        <v>5</v>
      </c>
      <c r="E23" s="52">
        <v>1.3</v>
      </c>
      <c r="F23" s="52">
        <v>0.6</v>
      </c>
      <c r="G23" s="52">
        <v>15</v>
      </c>
      <c r="H23" s="52">
        <v>10</v>
      </c>
      <c r="I23" s="52">
        <v>500</v>
      </c>
      <c r="J23" s="52">
        <v>2</v>
      </c>
      <c r="K23" s="52">
        <f t="shared" si="0"/>
        <v>0.5</v>
      </c>
      <c r="L23" s="52">
        <f t="shared" si="1"/>
        <v>0.34722222222222221</v>
      </c>
      <c r="M23" s="9">
        <f t="shared" si="2"/>
        <v>48.611111111111114</v>
      </c>
      <c r="O23" s="38" t="s">
        <v>26</v>
      </c>
      <c r="P23" s="39">
        <f>P21*P22</f>
        <v>14</v>
      </c>
      <c r="Q23" s="40">
        <f>P17</f>
        <v>27.351215485736248</v>
      </c>
      <c r="R23" s="40">
        <f>Q23/P23</f>
        <v>1.9536582489811605</v>
      </c>
      <c r="S23" s="55"/>
      <c r="T23" s="55"/>
      <c r="U23" s="1"/>
      <c r="V23" s="1"/>
      <c r="W23" s="1"/>
      <c r="X23" s="1"/>
      <c r="Y23" s="1"/>
    </row>
    <row r="24" spans="1:25">
      <c r="A24" s="119"/>
      <c r="B24" s="119"/>
      <c r="C24" s="119"/>
      <c r="D24" s="52">
        <v>5</v>
      </c>
      <c r="E24" s="52">
        <v>1.2</v>
      </c>
      <c r="F24" s="52">
        <v>0.5</v>
      </c>
      <c r="G24" s="52">
        <v>16</v>
      </c>
      <c r="H24" s="52">
        <v>10</v>
      </c>
      <c r="I24" s="52">
        <v>500</v>
      </c>
      <c r="J24" s="52">
        <v>3</v>
      </c>
      <c r="K24" s="52">
        <f t="shared" si="0"/>
        <v>0.5</v>
      </c>
      <c r="L24" s="52">
        <f t="shared" si="1"/>
        <v>0.32258064516129031</v>
      </c>
      <c r="M24" s="9">
        <f t="shared" si="2"/>
        <v>45.161290322580641</v>
      </c>
      <c r="O24" s="38" t="s">
        <v>27</v>
      </c>
      <c r="P24" s="39">
        <f>SUM(P21:P23)</f>
        <v>23</v>
      </c>
      <c r="Q24" s="40">
        <f>P14</f>
        <v>4899.1114150955746</v>
      </c>
      <c r="R24" s="21"/>
      <c r="S24" s="55"/>
      <c r="T24" s="1"/>
      <c r="U24" s="1"/>
      <c r="V24" s="1"/>
      <c r="W24" s="1"/>
      <c r="X24" s="1"/>
      <c r="Y24" s="1"/>
    </row>
    <row r="25" spans="1:25">
      <c r="A25" s="120">
        <v>8</v>
      </c>
      <c r="B25" s="120" t="s">
        <v>7</v>
      </c>
      <c r="C25" s="120">
        <v>855</v>
      </c>
      <c r="D25" s="52">
        <v>5</v>
      </c>
      <c r="E25" s="52">
        <v>0.8</v>
      </c>
      <c r="F25" s="52">
        <v>0.5</v>
      </c>
      <c r="G25" s="52">
        <v>15</v>
      </c>
      <c r="H25" s="52">
        <v>10</v>
      </c>
      <c r="I25" s="52">
        <v>500</v>
      </c>
      <c r="J25" s="52">
        <v>1</v>
      </c>
      <c r="K25" s="52">
        <f t="shared" si="0"/>
        <v>0.5</v>
      </c>
      <c r="L25" s="52">
        <f t="shared" si="1"/>
        <v>0.34482758620689657</v>
      </c>
      <c r="M25" s="9">
        <f t="shared" si="2"/>
        <v>20.689655172413797</v>
      </c>
    </row>
    <row r="26" spans="1:25">
      <c r="A26" s="120"/>
      <c r="B26" s="120"/>
      <c r="C26" s="120"/>
      <c r="D26" s="52">
        <v>5</v>
      </c>
      <c r="E26" s="52">
        <v>0.9</v>
      </c>
      <c r="F26" s="52">
        <v>0.6</v>
      </c>
      <c r="G26" s="52">
        <v>15</v>
      </c>
      <c r="H26" s="52">
        <v>10</v>
      </c>
      <c r="I26" s="52">
        <v>500</v>
      </c>
      <c r="J26" s="52">
        <v>2</v>
      </c>
      <c r="K26" s="52">
        <f t="shared" si="0"/>
        <v>0.5</v>
      </c>
      <c r="L26" s="52">
        <f t="shared" si="1"/>
        <v>0.34722222222222221</v>
      </c>
      <c r="M26" s="9">
        <f t="shared" si="2"/>
        <v>20.833333333333336</v>
      </c>
      <c r="O26" s="42" t="s">
        <v>29</v>
      </c>
      <c r="P26" s="51">
        <f>(R23/T11)^0.5</f>
        <v>0.80698167037861124</v>
      </c>
    </row>
    <row r="27" spans="1:25">
      <c r="A27" s="120"/>
      <c r="B27" s="120"/>
      <c r="C27" s="120"/>
      <c r="D27" s="57">
        <v>5</v>
      </c>
      <c r="E27" s="57">
        <v>0.8</v>
      </c>
      <c r="F27" s="52">
        <v>0.5</v>
      </c>
      <c r="G27" s="52">
        <v>16</v>
      </c>
      <c r="H27" s="52">
        <v>10</v>
      </c>
      <c r="I27" s="52">
        <v>500</v>
      </c>
      <c r="J27" s="52">
        <v>3</v>
      </c>
      <c r="K27" s="52">
        <f t="shared" si="0"/>
        <v>0.5</v>
      </c>
      <c r="L27" s="52">
        <f t="shared" si="1"/>
        <v>0.32258064516129031</v>
      </c>
      <c r="M27" s="9">
        <f t="shared" si="2"/>
        <v>19.35483870967742</v>
      </c>
    </row>
    <row r="30" spans="1:25">
      <c r="A30" s="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/>
      <c r="O30"/>
      <c r="P30"/>
      <c r="Q30"/>
      <c r="R30"/>
      <c r="S30"/>
      <c r="T30"/>
    </row>
    <row r="31" spans="1:25">
      <c r="A31" s="111" t="s">
        <v>31</v>
      </c>
      <c r="B31" s="111" t="s">
        <v>32</v>
      </c>
      <c r="C31" s="111" t="s">
        <v>33</v>
      </c>
      <c r="D31" s="111" t="s">
        <v>11</v>
      </c>
      <c r="E31" s="113" t="s">
        <v>1</v>
      </c>
      <c r="F31" s="113"/>
      <c r="G31" s="113"/>
      <c r="H31" s="113"/>
      <c r="I31" s="113"/>
      <c r="J31" s="113"/>
      <c r="K31" s="113"/>
      <c r="L31" s="114"/>
      <c r="M31" s="115"/>
      <c r="N31" s="115"/>
      <c r="O31" s="115"/>
      <c r="P31" s="115"/>
      <c r="Q31" s="115"/>
      <c r="R31" s="115"/>
      <c r="S31" s="115"/>
      <c r="T31" s="116" t="s">
        <v>66</v>
      </c>
    </row>
    <row r="32" spans="1:25">
      <c r="A32" s="111"/>
      <c r="B32" s="112"/>
      <c r="C32" s="111"/>
      <c r="D32" s="111"/>
      <c r="E32" s="49">
        <v>1</v>
      </c>
      <c r="F32" s="49"/>
      <c r="G32" s="49">
        <v>2</v>
      </c>
      <c r="H32" s="49"/>
      <c r="I32" s="49">
        <v>3</v>
      </c>
      <c r="J32" s="49"/>
      <c r="K32" s="49">
        <v>4</v>
      </c>
      <c r="L32" s="49"/>
      <c r="M32" s="49">
        <v>5</v>
      </c>
      <c r="N32" s="49"/>
      <c r="O32" s="49">
        <v>6</v>
      </c>
      <c r="P32" s="49"/>
      <c r="Q32" s="49">
        <v>7</v>
      </c>
      <c r="R32" s="49"/>
      <c r="S32" s="49">
        <v>8</v>
      </c>
      <c r="T32" s="117"/>
    </row>
    <row r="33" spans="1:20">
      <c r="A33" s="43" t="s">
        <v>34</v>
      </c>
      <c r="B33" s="44" t="s">
        <v>34</v>
      </c>
      <c r="C33" s="45" t="s">
        <v>10</v>
      </c>
      <c r="D33" s="46">
        <f>W9</f>
        <v>6.7642030239360595</v>
      </c>
      <c r="E33" s="43" t="s">
        <v>34</v>
      </c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45"/>
      <c r="Q33" s="45"/>
      <c r="R33" s="45"/>
      <c r="S33" s="45"/>
      <c r="T33" s="47" t="s">
        <v>35</v>
      </c>
    </row>
    <row r="34" spans="1:20">
      <c r="A34" s="43">
        <v>3.03</v>
      </c>
      <c r="B34" s="48">
        <f>(P26*A34)</f>
        <v>2.445154461247192</v>
      </c>
      <c r="C34" s="45" t="s">
        <v>9</v>
      </c>
      <c r="D34" s="46">
        <f>V9</f>
        <v>13.528406047872123</v>
      </c>
      <c r="E34" s="46">
        <f>(D34-D33)</f>
        <v>6.7642030239360631</v>
      </c>
      <c r="F34" s="46" t="s">
        <v>68</v>
      </c>
      <c r="G34" s="43" t="s">
        <v>34</v>
      </c>
      <c r="H34" s="43"/>
      <c r="I34" s="43"/>
      <c r="J34" s="43"/>
      <c r="K34" s="43"/>
      <c r="L34" s="43"/>
      <c r="M34" s="43"/>
      <c r="N34" s="43"/>
      <c r="O34" s="45"/>
      <c r="P34" s="45"/>
      <c r="Q34" s="45"/>
      <c r="R34" s="45"/>
      <c r="S34" s="45"/>
      <c r="T34" s="47" t="s">
        <v>36</v>
      </c>
    </row>
    <row r="35" spans="1:20">
      <c r="A35" s="43">
        <v>3.18</v>
      </c>
      <c r="B35" s="48">
        <f>P26*A35</f>
        <v>2.5662017118039837</v>
      </c>
      <c r="C35" s="45" t="s">
        <v>8</v>
      </c>
      <c r="D35" s="46">
        <f>U9</f>
        <v>13.528406047872123</v>
      </c>
      <c r="E35" s="46">
        <f>(D35-D33)</f>
        <v>6.7642030239360631</v>
      </c>
      <c r="F35" s="46" t="s">
        <v>68</v>
      </c>
      <c r="G35" s="46">
        <f>(D35-D34)</f>
        <v>0</v>
      </c>
      <c r="H35" s="46" t="s">
        <v>67</v>
      </c>
      <c r="I35" s="43" t="s">
        <v>34</v>
      </c>
      <c r="J35" s="43"/>
      <c r="K35" s="43"/>
      <c r="L35" s="43"/>
      <c r="M35" s="43"/>
      <c r="N35" s="43"/>
      <c r="O35" s="45"/>
      <c r="P35" s="45"/>
      <c r="Q35" s="45"/>
      <c r="R35" s="45"/>
      <c r="S35" s="45"/>
      <c r="T35" s="47" t="s">
        <v>36</v>
      </c>
    </row>
    <row r="36" spans="1:20">
      <c r="A36" s="43">
        <v>3.27</v>
      </c>
      <c r="B36" s="48">
        <f>P26*A36</f>
        <v>2.6388300621380587</v>
      </c>
      <c r="C36" s="45" t="s">
        <v>7</v>
      </c>
      <c r="D36" s="46">
        <f>T9</f>
        <v>20.292609071808187</v>
      </c>
      <c r="E36" s="46">
        <f>(D36-D33)</f>
        <v>13.528406047872128</v>
      </c>
      <c r="F36" s="46" t="s">
        <v>68</v>
      </c>
      <c r="G36" s="46">
        <f>(D36-D34)</f>
        <v>6.764203023936064</v>
      </c>
      <c r="H36" s="46" t="s">
        <v>68</v>
      </c>
      <c r="I36" s="46">
        <f>(D36-D35)</f>
        <v>6.764203023936064</v>
      </c>
      <c r="J36" s="46" t="s">
        <v>68</v>
      </c>
      <c r="K36" s="43" t="s">
        <v>34</v>
      </c>
      <c r="L36" s="43"/>
      <c r="M36" s="43"/>
      <c r="N36" s="43"/>
      <c r="O36" s="45"/>
      <c r="P36" s="45"/>
      <c r="Q36" s="45"/>
      <c r="R36" s="45"/>
      <c r="S36" s="45"/>
      <c r="T36" s="47" t="s">
        <v>37</v>
      </c>
    </row>
    <row r="37" spans="1:20">
      <c r="A37" s="43">
        <v>3.33</v>
      </c>
      <c r="B37" s="48">
        <f>P26*A37</f>
        <v>2.6872489623607754</v>
      </c>
      <c r="C37" s="45" t="s">
        <v>6</v>
      </c>
      <c r="D37" s="47">
        <f>S9</f>
        <v>20.292609071808187</v>
      </c>
      <c r="E37" s="47">
        <f>(D37-D33)</f>
        <v>13.528406047872128</v>
      </c>
      <c r="F37" s="46" t="s">
        <v>68</v>
      </c>
      <c r="G37" s="46">
        <f>(D37-D34)</f>
        <v>6.764203023936064</v>
      </c>
      <c r="H37" s="46" t="s">
        <v>68</v>
      </c>
      <c r="I37" s="46">
        <f>(D37-D35)</f>
        <v>6.764203023936064</v>
      </c>
      <c r="J37" s="46" t="s">
        <v>68</v>
      </c>
      <c r="K37" s="47">
        <f>(D37-D36)</f>
        <v>0</v>
      </c>
      <c r="L37" s="47" t="s">
        <v>67</v>
      </c>
      <c r="M37" s="45" t="s">
        <v>34</v>
      </c>
      <c r="N37" s="45"/>
      <c r="O37" s="45"/>
      <c r="P37" s="45"/>
      <c r="Q37" s="45"/>
      <c r="R37" s="45"/>
      <c r="S37" s="45"/>
      <c r="T37" s="47" t="s">
        <v>37</v>
      </c>
    </row>
    <row r="38" spans="1:20">
      <c r="A38" s="43">
        <v>3.37</v>
      </c>
      <c r="B38" s="48">
        <f>P26*A38</f>
        <v>2.71952822917592</v>
      </c>
      <c r="C38" s="45" t="s">
        <v>5</v>
      </c>
      <c r="D38" s="47">
        <f>R9</f>
        <v>33.821015119680304</v>
      </c>
      <c r="E38" s="47">
        <f>(D38-D33)</f>
        <v>27.056812095744245</v>
      </c>
      <c r="F38" s="46" t="s">
        <v>68</v>
      </c>
      <c r="G38" s="46">
        <f>(D38-D34)</f>
        <v>20.29260907180818</v>
      </c>
      <c r="H38" s="46" t="s">
        <v>68</v>
      </c>
      <c r="I38" s="46">
        <f>(D38-D35)</f>
        <v>20.29260907180818</v>
      </c>
      <c r="J38" s="46" t="s">
        <v>68</v>
      </c>
      <c r="K38" s="47">
        <f>(D38-D36)</f>
        <v>13.528406047872117</v>
      </c>
      <c r="L38" s="47" t="s">
        <v>68</v>
      </c>
      <c r="M38" s="47">
        <f>(D38-D37)</f>
        <v>13.528406047872117</v>
      </c>
      <c r="N38" s="47" t="s">
        <v>68</v>
      </c>
      <c r="O38" s="45" t="s">
        <v>34</v>
      </c>
      <c r="P38" s="45"/>
      <c r="Q38" s="45"/>
      <c r="R38" s="45"/>
      <c r="S38" s="45"/>
      <c r="T38" s="47" t="s">
        <v>38</v>
      </c>
    </row>
    <row r="39" spans="1:20">
      <c r="A39" s="43">
        <v>3.39</v>
      </c>
      <c r="B39" s="48">
        <f>P26*A39</f>
        <v>2.735667862583492</v>
      </c>
      <c r="C39" s="45" t="s">
        <v>4</v>
      </c>
      <c r="D39" s="47">
        <f>Q9</f>
        <v>45.050570592839783</v>
      </c>
      <c r="E39" s="47">
        <f>(D39-D33)</f>
        <v>38.286367568903721</v>
      </c>
      <c r="F39" s="46" t="s">
        <v>68</v>
      </c>
      <c r="G39" s="46">
        <f>(D39-D34)</f>
        <v>31.522164544967659</v>
      </c>
      <c r="H39" s="46" t="s">
        <v>68</v>
      </c>
      <c r="I39" s="46">
        <f>(D39-D35)</f>
        <v>31.522164544967659</v>
      </c>
      <c r="J39" s="46" t="s">
        <v>68</v>
      </c>
      <c r="K39" s="47">
        <f>(D39-D36)</f>
        <v>24.757961521031596</v>
      </c>
      <c r="L39" s="47" t="s">
        <v>68</v>
      </c>
      <c r="M39" s="47">
        <f>(D39-D37)</f>
        <v>24.757961521031596</v>
      </c>
      <c r="N39" s="47" t="s">
        <v>68</v>
      </c>
      <c r="O39" s="45">
        <f>(D39-D38)</f>
        <v>11.229555473159479</v>
      </c>
      <c r="P39" s="58" t="s">
        <v>68</v>
      </c>
      <c r="Q39" s="45" t="s">
        <v>34</v>
      </c>
      <c r="R39" s="45"/>
      <c r="S39" s="45"/>
      <c r="T39" s="47" t="s">
        <v>39</v>
      </c>
    </row>
    <row r="40" spans="1:20">
      <c r="A40" s="43">
        <v>3.41</v>
      </c>
      <c r="B40" s="48">
        <f>P26*A40</f>
        <v>2.7518074959910646</v>
      </c>
      <c r="C40" s="45" t="s">
        <v>3</v>
      </c>
      <c r="D40" s="47">
        <f>P9</f>
        <v>47.349421167552428</v>
      </c>
      <c r="E40" s="47">
        <f>(D40-D33)</f>
        <v>40.585218143616366</v>
      </c>
      <c r="F40" s="46" t="s">
        <v>68</v>
      </c>
      <c r="G40" s="46">
        <f>(D40-D34)</f>
        <v>33.821015119680304</v>
      </c>
      <c r="H40" s="46" t="s">
        <v>68</v>
      </c>
      <c r="I40" s="46">
        <f>(D40-D35)</f>
        <v>33.821015119680304</v>
      </c>
      <c r="J40" s="46" t="s">
        <v>68</v>
      </c>
      <c r="K40" s="47">
        <f>(D40-D36)</f>
        <v>27.056812095744242</v>
      </c>
      <c r="L40" s="47" t="s">
        <v>68</v>
      </c>
      <c r="M40" s="47">
        <f>(D40-D37)</f>
        <v>27.056812095744242</v>
      </c>
      <c r="N40" s="47" t="s">
        <v>68</v>
      </c>
      <c r="O40" s="45">
        <f>(D40-D38)</f>
        <v>13.528406047872124</v>
      </c>
      <c r="P40" s="58" t="s">
        <v>68</v>
      </c>
      <c r="Q40" s="45">
        <f>(D40-D39)</f>
        <v>2.2988505747126453</v>
      </c>
      <c r="R40" s="45" t="s">
        <v>67</v>
      </c>
      <c r="S40" s="45" t="s">
        <v>34</v>
      </c>
      <c r="T40" s="47" t="s">
        <v>39</v>
      </c>
    </row>
    <row r="43" spans="1:20">
      <c r="C43" s="51" t="s">
        <v>81</v>
      </c>
      <c r="D43" s="51" t="s">
        <v>80</v>
      </c>
    </row>
    <row r="44" spans="1:20">
      <c r="C44" s="51" t="s">
        <v>3</v>
      </c>
      <c r="D44" s="1">
        <f>P9</f>
        <v>47.349421167552428</v>
      </c>
    </row>
    <row r="45" spans="1:20">
      <c r="C45" s="51" t="s">
        <v>4</v>
      </c>
      <c r="D45" s="1">
        <f>Q9</f>
        <v>45.050570592839783</v>
      </c>
    </row>
    <row r="46" spans="1:20">
      <c r="C46" s="51" t="s">
        <v>5</v>
      </c>
      <c r="D46" s="1">
        <f>R9</f>
        <v>33.821015119680304</v>
      </c>
    </row>
    <row r="47" spans="1:20">
      <c r="C47" s="51" t="s">
        <v>6</v>
      </c>
      <c r="D47" s="1">
        <f>S9</f>
        <v>20.292609071808187</v>
      </c>
    </row>
    <row r="48" spans="1:20">
      <c r="C48" s="51" t="s">
        <v>7</v>
      </c>
      <c r="D48" s="1">
        <f>T9</f>
        <v>20.292609071808187</v>
      </c>
    </row>
    <row r="49" spans="3:4">
      <c r="C49" s="51" t="s">
        <v>8</v>
      </c>
      <c r="D49" s="1">
        <f>U9</f>
        <v>13.528406047872123</v>
      </c>
    </row>
    <row r="50" spans="3:4">
      <c r="C50" s="51" t="s">
        <v>9</v>
      </c>
      <c r="D50" s="1">
        <f>V9</f>
        <v>13.528406047872123</v>
      </c>
    </row>
    <row r="51" spans="3:4">
      <c r="C51" s="51" t="s">
        <v>10</v>
      </c>
      <c r="D51" s="1">
        <f>W9</f>
        <v>6.7642030239360595</v>
      </c>
    </row>
  </sheetData>
  <mergeCells count="34">
    <mergeCell ref="A2:M2"/>
    <mergeCell ref="A4:A6"/>
    <mergeCell ref="B4:B6"/>
    <mergeCell ref="C4:C6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B16:B18"/>
    <mergeCell ref="C16:C18"/>
    <mergeCell ref="A19:A21"/>
    <mergeCell ref="B19:B21"/>
    <mergeCell ref="C19:C21"/>
    <mergeCell ref="O3:O4"/>
    <mergeCell ref="P3:W3"/>
    <mergeCell ref="X3:X4"/>
    <mergeCell ref="A31:A32"/>
    <mergeCell ref="B31:B32"/>
    <mergeCell ref="C31:C32"/>
    <mergeCell ref="D31:D32"/>
    <mergeCell ref="E31:S31"/>
    <mergeCell ref="T31:T32"/>
    <mergeCell ref="A22:A24"/>
    <mergeCell ref="B22:B24"/>
    <mergeCell ref="C22:C24"/>
    <mergeCell ref="C25:C27"/>
    <mergeCell ref="B25:B27"/>
    <mergeCell ref="A25:A27"/>
    <mergeCell ref="A16:A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50"/>
  <sheetViews>
    <sheetView tabSelected="1" topLeftCell="A37" workbookViewId="0">
      <selection activeCell="P53" sqref="P53"/>
    </sheetView>
  </sheetViews>
  <sheetFormatPr defaultRowHeight="15.75"/>
  <cols>
    <col min="1" max="7" width="9.140625" style="51"/>
    <col min="8" max="8" width="6.7109375" style="51" customWidth="1"/>
    <col min="9" max="9" width="9.140625" style="51"/>
    <col min="10" max="10" width="10" style="51" customWidth="1"/>
    <col min="11" max="11" width="9.140625" style="51"/>
    <col min="12" max="12" width="11.7109375" style="51" customWidth="1"/>
    <col min="13" max="16384" width="9.140625" style="51"/>
  </cols>
  <sheetData>
    <row r="2" spans="1:21">
      <c r="A2" s="129" t="s">
        <v>43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21">
      <c r="A3" s="52" t="s">
        <v>44</v>
      </c>
      <c r="B3" s="52" t="s">
        <v>45</v>
      </c>
      <c r="C3" s="52" t="s">
        <v>33</v>
      </c>
      <c r="D3" s="52" t="s">
        <v>48</v>
      </c>
      <c r="E3" s="52" t="s">
        <v>56</v>
      </c>
      <c r="F3" s="52" t="s">
        <v>57</v>
      </c>
      <c r="G3" s="52" t="s">
        <v>58</v>
      </c>
      <c r="H3" s="52" t="s">
        <v>17</v>
      </c>
      <c r="I3" s="52" t="s">
        <v>71</v>
      </c>
      <c r="J3" s="52" t="s">
        <v>59</v>
      </c>
      <c r="L3" s="104" t="s">
        <v>0</v>
      </c>
      <c r="M3" s="106" t="s">
        <v>1</v>
      </c>
      <c r="N3" s="107"/>
      <c r="O3" s="107"/>
      <c r="P3" s="107"/>
      <c r="Q3" s="107"/>
      <c r="R3" s="107"/>
      <c r="S3" s="107"/>
      <c r="T3" s="108"/>
      <c r="U3" s="109" t="s">
        <v>2</v>
      </c>
    </row>
    <row r="4" spans="1:21">
      <c r="A4" s="120">
        <v>1</v>
      </c>
      <c r="B4" s="120" t="s">
        <v>8</v>
      </c>
      <c r="C4" s="128" t="s">
        <v>49</v>
      </c>
      <c r="D4" s="52">
        <v>25</v>
      </c>
      <c r="E4" s="52">
        <v>16.52</v>
      </c>
      <c r="F4" s="52">
        <v>40.08</v>
      </c>
      <c r="G4" s="52">
        <v>40.06</v>
      </c>
      <c r="H4" s="52">
        <v>1</v>
      </c>
      <c r="I4" s="52">
        <f t="shared" ref="I4:I27" si="0">(G4-E4)/(F4-E4)</f>
        <v>0.99915110356536518</v>
      </c>
      <c r="J4" s="43">
        <v>0.6</v>
      </c>
      <c r="L4" s="105"/>
      <c r="M4" s="53" t="s">
        <v>3</v>
      </c>
      <c r="N4" s="53" t="s">
        <v>4</v>
      </c>
      <c r="O4" s="53" t="s">
        <v>5</v>
      </c>
      <c r="P4" s="53" t="s">
        <v>6</v>
      </c>
      <c r="Q4" s="53" t="s">
        <v>7</v>
      </c>
      <c r="R4" s="53" t="s">
        <v>8</v>
      </c>
      <c r="S4" s="53" t="s">
        <v>9</v>
      </c>
      <c r="T4" s="53" t="s">
        <v>10</v>
      </c>
      <c r="U4" s="110"/>
    </row>
    <row r="5" spans="1:21">
      <c r="A5" s="120"/>
      <c r="B5" s="120"/>
      <c r="C5" s="128"/>
      <c r="D5" s="52">
        <v>25</v>
      </c>
      <c r="E5" s="52">
        <v>16.52</v>
      </c>
      <c r="F5" s="52">
        <v>40.08</v>
      </c>
      <c r="G5" s="52">
        <v>40.07</v>
      </c>
      <c r="H5" s="52">
        <v>2</v>
      </c>
      <c r="I5" s="52">
        <f t="shared" si="0"/>
        <v>0.99957555178268265</v>
      </c>
      <c r="J5" s="43">
        <v>0.33</v>
      </c>
      <c r="L5" s="53">
        <v>1</v>
      </c>
      <c r="M5" s="9">
        <f>J16</f>
        <v>1.1299999999999999</v>
      </c>
      <c r="N5" s="9">
        <f>J22</f>
        <v>0.87</v>
      </c>
      <c r="O5" s="9">
        <f>J7</f>
        <v>0.87</v>
      </c>
      <c r="P5" s="9">
        <f>J13</f>
        <v>0.6</v>
      </c>
      <c r="Q5" s="9">
        <f>J25</f>
        <v>0.6</v>
      </c>
      <c r="R5" s="9">
        <f>J4</f>
        <v>0.6</v>
      </c>
      <c r="S5" s="9">
        <f>J10</f>
        <v>0.33</v>
      </c>
      <c r="T5" s="9">
        <f>J19</f>
        <v>0.33</v>
      </c>
      <c r="U5" s="9">
        <f>SUM(M5:T5)</f>
        <v>5.33</v>
      </c>
    </row>
    <row r="6" spans="1:21">
      <c r="A6" s="120"/>
      <c r="B6" s="120"/>
      <c r="C6" s="128"/>
      <c r="D6" s="52">
        <v>25</v>
      </c>
      <c r="E6" s="52">
        <v>16.52</v>
      </c>
      <c r="F6" s="52">
        <v>40.090000000000003</v>
      </c>
      <c r="G6" s="52">
        <v>40.06</v>
      </c>
      <c r="H6" s="52">
        <v>3</v>
      </c>
      <c r="I6" s="52">
        <f t="shared" si="0"/>
        <v>0.99872719558761136</v>
      </c>
      <c r="J6" s="43">
        <v>0.87</v>
      </c>
      <c r="L6" s="53">
        <v>2</v>
      </c>
      <c r="M6" s="9">
        <f>J17</f>
        <v>0.87</v>
      </c>
      <c r="N6" s="9">
        <f>J23</f>
        <v>0.87</v>
      </c>
      <c r="O6" s="9">
        <f>J8</f>
        <v>0.87</v>
      </c>
      <c r="P6" s="9">
        <f>J14</f>
        <v>0.6</v>
      </c>
      <c r="Q6" s="9">
        <f>J26</f>
        <v>0.6</v>
      </c>
      <c r="R6" s="9">
        <f>J5</f>
        <v>0.33</v>
      </c>
      <c r="S6" s="9">
        <f>J11</f>
        <v>0</v>
      </c>
      <c r="T6" s="9">
        <f>J20</f>
        <v>0</v>
      </c>
      <c r="U6" s="9">
        <f t="shared" ref="U6:U7" si="1">SUM(M6:T6)</f>
        <v>4.1399999999999997</v>
      </c>
    </row>
    <row r="7" spans="1:21">
      <c r="A7" s="120">
        <v>2</v>
      </c>
      <c r="B7" s="120" t="s">
        <v>5</v>
      </c>
      <c r="C7" s="120">
        <v>152</v>
      </c>
      <c r="D7" s="52">
        <v>25</v>
      </c>
      <c r="E7" s="52">
        <v>16.52</v>
      </c>
      <c r="F7" s="52">
        <v>40.08</v>
      </c>
      <c r="G7" s="52">
        <v>40.049999999999997</v>
      </c>
      <c r="H7" s="52">
        <v>1</v>
      </c>
      <c r="I7" s="52">
        <f t="shared" si="0"/>
        <v>0.9987266553480475</v>
      </c>
      <c r="J7" s="43">
        <v>0.87</v>
      </c>
      <c r="L7" s="53">
        <v>3</v>
      </c>
      <c r="M7" s="9">
        <f>J18</f>
        <v>1.47</v>
      </c>
      <c r="N7" s="9">
        <f>J24</f>
        <v>1.1299999999999999</v>
      </c>
      <c r="O7" s="9">
        <f>J9</f>
        <v>0.87</v>
      </c>
      <c r="P7" s="9">
        <f>J15</f>
        <v>0.87</v>
      </c>
      <c r="Q7" s="9">
        <f>J27</f>
        <v>0.87</v>
      </c>
      <c r="R7" s="9">
        <f>J6</f>
        <v>0.87</v>
      </c>
      <c r="S7" s="9">
        <f>J12</f>
        <v>0.6</v>
      </c>
      <c r="T7" s="9">
        <f>J21</f>
        <v>0.6</v>
      </c>
      <c r="U7" s="9">
        <f t="shared" si="1"/>
        <v>7.2799999999999994</v>
      </c>
    </row>
    <row r="8" spans="1:21">
      <c r="A8" s="120"/>
      <c r="B8" s="120"/>
      <c r="C8" s="120"/>
      <c r="D8" s="52">
        <v>25</v>
      </c>
      <c r="E8" s="52">
        <v>16.52</v>
      </c>
      <c r="F8" s="52">
        <v>40.08</v>
      </c>
      <c r="G8" s="52">
        <v>40.049999999999997</v>
      </c>
      <c r="H8" s="52">
        <v>2</v>
      </c>
      <c r="I8" s="52">
        <f t="shared" si="0"/>
        <v>0.9987266553480475</v>
      </c>
      <c r="J8" s="43">
        <v>0.87</v>
      </c>
      <c r="L8" s="53" t="s">
        <v>2</v>
      </c>
      <c r="M8" s="9">
        <f>SUM(M5:M7)</f>
        <v>3.4699999999999998</v>
      </c>
      <c r="N8" s="9">
        <f t="shared" ref="N8:U8" si="2">SUM(N5:N7)</f>
        <v>2.87</v>
      </c>
      <c r="O8" s="9">
        <f t="shared" si="2"/>
        <v>2.61</v>
      </c>
      <c r="P8" s="9">
        <f t="shared" si="2"/>
        <v>2.0699999999999998</v>
      </c>
      <c r="Q8" s="9">
        <f t="shared" si="2"/>
        <v>2.0699999999999998</v>
      </c>
      <c r="R8" s="9">
        <f t="shared" si="2"/>
        <v>1.7999999999999998</v>
      </c>
      <c r="S8" s="9">
        <f t="shared" si="2"/>
        <v>0.92999999999999994</v>
      </c>
      <c r="T8" s="9">
        <f t="shared" si="2"/>
        <v>0.92999999999999994</v>
      </c>
      <c r="U8" s="9">
        <f t="shared" si="2"/>
        <v>16.75</v>
      </c>
    </row>
    <row r="9" spans="1:21">
      <c r="A9" s="120"/>
      <c r="B9" s="120"/>
      <c r="C9" s="120"/>
      <c r="D9" s="52">
        <v>25</v>
      </c>
      <c r="E9" s="52">
        <v>16.52</v>
      </c>
      <c r="F9" s="52">
        <v>40.090000000000003</v>
      </c>
      <c r="G9" s="52">
        <v>40.06</v>
      </c>
      <c r="H9" s="52">
        <v>3</v>
      </c>
      <c r="I9" s="52">
        <f t="shared" si="0"/>
        <v>0.99872719558761136</v>
      </c>
      <c r="J9" s="43">
        <v>0.87</v>
      </c>
      <c r="L9" s="53" t="s">
        <v>11</v>
      </c>
      <c r="M9" s="9">
        <f>AVERAGE(M5:M7)</f>
        <v>1.1566666666666665</v>
      </c>
      <c r="N9" s="9">
        <f t="shared" ref="N9:U9" si="3">AVERAGE(N5:N7)</f>
        <v>0.95666666666666667</v>
      </c>
      <c r="O9" s="9">
        <f t="shared" si="3"/>
        <v>0.87</v>
      </c>
      <c r="P9" s="9">
        <f t="shared" si="3"/>
        <v>0.69</v>
      </c>
      <c r="Q9" s="9">
        <f t="shared" si="3"/>
        <v>0.69</v>
      </c>
      <c r="R9" s="9">
        <f t="shared" si="3"/>
        <v>0.6</v>
      </c>
      <c r="S9" s="9">
        <f t="shared" si="3"/>
        <v>0.31</v>
      </c>
      <c r="T9" s="9">
        <f t="shared" si="3"/>
        <v>0.31</v>
      </c>
      <c r="U9" s="9">
        <f t="shared" si="3"/>
        <v>5.583333333333333</v>
      </c>
    </row>
    <row r="10" spans="1:21">
      <c r="A10" s="120">
        <v>3</v>
      </c>
      <c r="B10" s="120" t="s">
        <v>9</v>
      </c>
      <c r="C10" s="120">
        <v>433</v>
      </c>
      <c r="D10" s="52">
        <v>25</v>
      </c>
      <c r="E10" s="52">
        <v>16.52</v>
      </c>
      <c r="F10" s="52">
        <v>40.08</v>
      </c>
      <c r="G10" s="52">
        <v>40.07</v>
      </c>
      <c r="H10" s="52">
        <v>1</v>
      </c>
      <c r="I10" s="52">
        <f t="shared" si="0"/>
        <v>0.99957555178268265</v>
      </c>
      <c r="J10" s="43">
        <v>0.33</v>
      </c>
    </row>
    <row r="11" spans="1:21">
      <c r="A11" s="120"/>
      <c r="B11" s="120"/>
      <c r="C11" s="120"/>
      <c r="D11" s="52">
        <v>25</v>
      </c>
      <c r="E11" s="52">
        <v>16.52</v>
      </c>
      <c r="F11" s="52">
        <v>40.08</v>
      </c>
      <c r="G11" s="52">
        <v>40.08</v>
      </c>
      <c r="H11" s="52">
        <v>2</v>
      </c>
      <c r="I11" s="52">
        <f t="shared" si="0"/>
        <v>1</v>
      </c>
      <c r="J11" s="43">
        <v>0</v>
      </c>
      <c r="L11" s="51" t="s">
        <v>60</v>
      </c>
      <c r="M11" s="54">
        <v>24</v>
      </c>
      <c r="N11" s="51" t="s">
        <v>61</v>
      </c>
      <c r="O11" s="54">
        <v>8</v>
      </c>
      <c r="P11" s="51" t="s">
        <v>62</v>
      </c>
      <c r="Q11" s="54">
        <v>3</v>
      </c>
    </row>
    <row r="12" spans="1:21">
      <c r="A12" s="120"/>
      <c r="B12" s="120"/>
      <c r="C12" s="120"/>
      <c r="D12" s="52">
        <v>25</v>
      </c>
      <c r="E12" s="52">
        <v>16.52</v>
      </c>
      <c r="F12" s="52">
        <v>40.090000000000003</v>
      </c>
      <c r="G12" s="52">
        <v>40.07</v>
      </c>
      <c r="H12" s="52">
        <v>3</v>
      </c>
      <c r="I12" s="52">
        <f t="shared" si="0"/>
        <v>0.99915146372507413</v>
      </c>
      <c r="J12" s="43">
        <v>0.6</v>
      </c>
    </row>
    <row r="13" spans="1:21">
      <c r="A13" s="120">
        <v>4</v>
      </c>
      <c r="B13" s="120" t="s">
        <v>6</v>
      </c>
      <c r="C13" s="120">
        <v>510</v>
      </c>
      <c r="D13" s="52">
        <v>25</v>
      </c>
      <c r="E13" s="52">
        <v>16.52</v>
      </c>
      <c r="F13" s="52">
        <v>40.08</v>
      </c>
      <c r="G13" s="52">
        <v>40.06</v>
      </c>
      <c r="H13" s="52">
        <v>1</v>
      </c>
      <c r="I13" s="52">
        <f t="shared" si="0"/>
        <v>0.99915110356536518</v>
      </c>
      <c r="J13" s="43">
        <v>0.6</v>
      </c>
      <c r="L13" s="51" t="s">
        <v>63</v>
      </c>
      <c r="M13" s="1">
        <f>(U8^2)/M11</f>
        <v>11.690104166666666</v>
      </c>
    </row>
    <row r="14" spans="1:21">
      <c r="A14" s="120"/>
      <c r="B14" s="120"/>
      <c r="C14" s="120"/>
      <c r="D14" s="52">
        <v>25</v>
      </c>
      <c r="E14" s="52">
        <v>16.52</v>
      </c>
      <c r="F14" s="52">
        <v>40.08</v>
      </c>
      <c r="G14" s="52">
        <v>40.06</v>
      </c>
      <c r="H14" s="52">
        <v>2</v>
      </c>
      <c r="I14" s="52">
        <f t="shared" si="0"/>
        <v>0.99915110356536518</v>
      </c>
      <c r="J14" s="43">
        <v>0.6</v>
      </c>
      <c r="L14" s="51" t="s">
        <v>13</v>
      </c>
      <c r="M14" s="1">
        <f>((M5)^2+(N5)^2+(O5)^2+(P5)^2+(Q5)^2+(R5)^2+(S5)^2+(T5)^2+(M6)^2+(N6)^2+(O6)^2+(P6)^2+(Q6)^2+(R6)^2+(S6)^2+(T6)^2+(M7)^2+(N7)^2+(O7)^2+(P7)^2+(Q7)^2+(R7)^2+(S7)^2+(T7)^2)-M13</f>
        <v>2.6833958333333321</v>
      </c>
    </row>
    <row r="15" spans="1:21">
      <c r="A15" s="120"/>
      <c r="B15" s="120"/>
      <c r="C15" s="120"/>
      <c r="D15" s="52">
        <v>25</v>
      </c>
      <c r="E15" s="52">
        <v>16.52</v>
      </c>
      <c r="F15" s="52">
        <v>40.090000000000003</v>
      </c>
      <c r="G15" s="52">
        <v>40.06</v>
      </c>
      <c r="H15" s="52">
        <v>3</v>
      </c>
      <c r="I15" s="52">
        <f t="shared" si="0"/>
        <v>0.99872719558761136</v>
      </c>
      <c r="J15" s="43">
        <v>0.87</v>
      </c>
      <c r="L15" s="51" t="s">
        <v>15</v>
      </c>
      <c r="M15" s="1">
        <f>(((U5)^2+(U6)^2+(U7)^2)/O11)-M13</f>
        <v>0.62825833333333314</v>
      </c>
    </row>
    <row r="16" spans="1:21">
      <c r="A16" s="120">
        <v>5</v>
      </c>
      <c r="B16" s="120" t="s">
        <v>3</v>
      </c>
      <c r="C16" s="120">
        <v>714</v>
      </c>
      <c r="D16" s="52">
        <v>25</v>
      </c>
      <c r="E16" s="52">
        <v>16.52</v>
      </c>
      <c r="F16" s="52">
        <v>40.08</v>
      </c>
      <c r="G16" s="52">
        <v>40.04</v>
      </c>
      <c r="H16" s="52">
        <v>1</v>
      </c>
      <c r="I16" s="52">
        <f t="shared" si="0"/>
        <v>0.99830220713073003</v>
      </c>
      <c r="J16" s="43">
        <v>1.1299999999999999</v>
      </c>
      <c r="L16" s="51" t="s">
        <v>14</v>
      </c>
      <c r="M16" s="1">
        <f>(((M8)^2+(N8)^2+(O8)^2+(P8)^2+(Q8)^2+(R8)^2+(S8)^2+(T8)^2)/Q11)-M13</f>
        <v>1.8530625000000001</v>
      </c>
    </row>
    <row r="17" spans="1:24">
      <c r="A17" s="120"/>
      <c r="B17" s="120"/>
      <c r="C17" s="120"/>
      <c r="D17" s="52">
        <v>25</v>
      </c>
      <c r="E17" s="52">
        <v>16.52</v>
      </c>
      <c r="F17" s="52">
        <v>40.08</v>
      </c>
      <c r="G17" s="52">
        <v>40.049999999999997</v>
      </c>
      <c r="H17" s="52">
        <v>2</v>
      </c>
      <c r="I17" s="52">
        <f t="shared" si="0"/>
        <v>0.9987266553480475</v>
      </c>
      <c r="J17" s="43">
        <v>0.87</v>
      </c>
      <c r="L17" s="51" t="s">
        <v>18</v>
      </c>
      <c r="M17" s="1">
        <f>(M14-M15-M16)</f>
        <v>0.20207499999999889</v>
      </c>
    </row>
    <row r="18" spans="1:24">
      <c r="A18" s="120"/>
      <c r="B18" s="120"/>
      <c r="C18" s="120"/>
      <c r="D18" s="52">
        <v>25</v>
      </c>
      <c r="E18" s="52">
        <v>16.52</v>
      </c>
      <c r="F18" s="52">
        <v>40.090000000000003</v>
      </c>
      <c r="G18" s="52">
        <v>40.04</v>
      </c>
      <c r="H18" s="52">
        <v>3</v>
      </c>
      <c r="I18" s="52">
        <f t="shared" si="0"/>
        <v>0.99787865931268549</v>
      </c>
      <c r="J18" s="43">
        <v>1.47</v>
      </c>
    </row>
    <row r="19" spans="1:24">
      <c r="A19" s="120">
        <v>6</v>
      </c>
      <c r="B19" s="120" t="s">
        <v>10</v>
      </c>
      <c r="C19" s="120">
        <v>745</v>
      </c>
      <c r="D19" s="52">
        <v>25</v>
      </c>
      <c r="E19" s="52">
        <v>16.52</v>
      </c>
      <c r="F19" s="52">
        <v>40.08</v>
      </c>
      <c r="G19" s="52">
        <v>40.07</v>
      </c>
      <c r="H19" s="52">
        <v>1</v>
      </c>
      <c r="I19" s="52">
        <f t="shared" si="0"/>
        <v>0.99957555178268265</v>
      </c>
      <c r="J19" s="43">
        <v>0.33</v>
      </c>
      <c r="L19" s="1" t="s">
        <v>19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7.25" customHeight="1">
      <c r="A20" s="120"/>
      <c r="B20" s="120"/>
      <c r="C20" s="120"/>
      <c r="D20" s="52">
        <v>25</v>
      </c>
      <c r="E20" s="52">
        <v>16.52</v>
      </c>
      <c r="F20" s="52">
        <v>40.08</v>
      </c>
      <c r="G20" s="52">
        <v>40.08</v>
      </c>
      <c r="H20" s="52">
        <v>2</v>
      </c>
      <c r="I20" s="52">
        <f t="shared" si="0"/>
        <v>1</v>
      </c>
      <c r="J20" s="43">
        <v>0</v>
      </c>
      <c r="L20" s="34" t="s">
        <v>20</v>
      </c>
      <c r="M20" s="34" t="s">
        <v>21</v>
      </c>
      <c r="N20" s="34" t="s">
        <v>22</v>
      </c>
      <c r="O20" s="35" t="s">
        <v>22</v>
      </c>
      <c r="P20" s="34" t="s">
        <v>23</v>
      </c>
      <c r="Q20" s="36" t="s">
        <v>24</v>
      </c>
      <c r="R20" s="37" t="s">
        <v>25</v>
      </c>
      <c r="S20" s="55"/>
      <c r="T20" s="1"/>
      <c r="U20" s="1"/>
      <c r="V20" s="1"/>
      <c r="W20" s="1"/>
      <c r="X20" s="1"/>
    </row>
    <row r="21" spans="1:24">
      <c r="A21" s="120"/>
      <c r="B21" s="120"/>
      <c r="C21" s="120"/>
      <c r="D21" s="52">
        <v>25</v>
      </c>
      <c r="E21" s="52">
        <v>16.52</v>
      </c>
      <c r="F21" s="52">
        <v>40.090000000000003</v>
      </c>
      <c r="G21" s="52">
        <v>40.07</v>
      </c>
      <c r="H21" s="52">
        <v>3</v>
      </c>
      <c r="I21" s="52">
        <f t="shared" si="0"/>
        <v>0.99915146372507413</v>
      </c>
      <c r="J21" s="43">
        <v>0.6</v>
      </c>
      <c r="L21" s="38" t="s">
        <v>0</v>
      </c>
      <c r="M21" s="39">
        <f>Q11-1</f>
        <v>2</v>
      </c>
      <c r="N21" s="40">
        <f>M15</f>
        <v>0.62825833333333314</v>
      </c>
      <c r="O21" s="40">
        <f>N21/M21</f>
        <v>0.31412916666666657</v>
      </c>
      <c r="P21" s="40">
        <f>O21/O23</f>
        <v>21.763247968988527</v>
      </c>
      <c r="Q21" s="56">
        <v>3.47</v>
      </c>
      <c r="R21" s="41" t="s">
        <v>64</v>
      </c>
      <c r="S21" s="1"/>
      <c r="T21" s="1"/>
      <c r="U21" s="1"/>
      <c r="V21" s="1"/>
      <c r="W21" s="1"/>
      <c r="X21" s="1"/>
    </row>
    <row r="22" spans="1:24">
      <c r="A22" s="120">
        <v>7</v>
      </c>
      <c r="B22" s="120" t="s">
        <v>4</v>
      </c>
      <c r="C22" s="120">
        <v>794</v>
      </c>
      <c r="D22" s="52">
        <v>25</v>
      </c>
      <c r="E22" s="52">
        <v>16.52</v>
      </c>
      <c r="F22" s="52">
        <v>40.08</v>
      </c>
      <c r="G22" s="52">
        <v>40.049999999999997</v>
      </c>
      <c r="H22" s="52">
        <v>1</v>
      </c>
      <c r="I22" s="52">
        <f t="shared" si="0"/>
        <v>0.9987266553480475</v>
      </c>
      <c r="J22" s="43">
        <v>0.87</v>
      </c>
      <c r="L22" s="38" t="s">
        <v>1</v>
      </c>
      <c r="M22" s="39">
        <f>O11-1</f>
        <v>7</v>
      </c>
      <c r="N22" s="40">
        <f>M16</f>
        <v>1.8530625000000001</v>
      </c>
      <c r="O22" s="40">
        <f>N22/M22</f>
        <v>0.26472321428571427</v>
      </c>
      <c r="P22" s="56">
        <f>O22/O23</f>
        <v>18.340343931708624</v>
      </c>
      <c r="Q22" s="56">
        <v>2.76</v>
      </c>
      <c r="R22" s="41" t="s">
        <v>65</v>
      </c>
      <c r="S22" s="1"/>
      <c r="T22" s="1"/>
      <c r="U22" s="1"/>
      <c r="V22" s="1"/>
      <c r="W22" s="1"/>
      <c r="X22" s="1"/>
    </row>
    <row r="23" spans="1:24">
      <c r="A23" s="120"/>
      <c r="B23" s="120"/>
      <c r="C23" s="120"/>
      <c r="D23" s="52">
        <v>25</v>
      </c>
      <c r="E23" s="52">
        <v>16.52</v>
      </c>
      <c r="F23" s="52">
        <v>40.08</v>
      </c>
      <c r="G23" s="52">
        <v>40.049999999999997</v>
      </c>
      <c r="H23" s="52">
        <v>2</v>
      </c>
      <c r="I23" s="52">
        <f t="shared" si="0"/>
        <v>0.9987266553480475</v>
      </c>
      <c r="J23" s="43">
        <v>0.87</v>
      </c>
      <c r="L23" s="38" t="s">
        <v>26</v>
      </c>
      <c r="M23" s="39">
        <f>M21*M22</f>
        <v>14</v>
      </c>
      <c r="N23" s="40">
        <f>M17</f>
        <v>0.20207499999999889</v>
      </c>
      <c r="O23" s="40">
        <f>N23/M23</f>
        <v>1.4433928571428492E-2</v>
      </c>
      <c r="P23" s="55"/>
      <c r="Q23" s="55"/>
      <c r="R23" s="1"/>
      <c r="S23" s="1"/>
      <c r="T23" s="1"/>
      <c r="U23" s="1"/>
      <c r="V23" s="1"/>
      <c r="W23" s="1"/>
    </row>
    <row r="24" spans="1:24">
      <c r="A24" s="120"/>
      <c r="B24" s="120"/>
      <c r="C24" s="120"/>
      <c r="D24" s="52">
        <v>25</v>
      </c>
      <c r="E24" s="52">
        <v>16.52</v>
      </c>
      <c r="F24" s="52">
        <v>40.090000000000003</v>
      </c>
      <c r="G24" s="52">
        <v>40.049999999999997</v>
      </c>
      <c r="H24" s="52">
        <v>3</v>
      </c>
      <c r="I24" s="52">
        <f t="shared" si="0"/>
        <v>0.99830292745014826</v>
      </c>
      <c r="J24" s="43">
        <v>1.1299999999999999</v>
      </c>
      <c r="L24" s="38" t="s">
        <v>27</v>
      </c>
      <c r="M24" s="39">
        <f>SUM(M21:M23)</f>
        <v>23</v>
      </c>
      <c r="N24" s="40">
        <f>M14</f>
        <v>2.6833958333333321</v>
      </c>
      <c r="O24" s="21"/>
      <c r="P24" s="55"/>
      <c r="Q24" s="1"/>
      <c r="R24" s="1"/>
      <c r="S24" s="1"/>
      <c r="T24" s="1"/>
      <c r="U24" s="1"/>
      <c r="V24" s="1"/>
      <c r="W24" s="1"/>
      <c r="X24" s="1"/>
    </row>
    <row r="25" spans="1:24">
      <c r="A25" s="120">
        <v>8</v>
      </c>
      <c r="B25" s="120" t="s">
        <v>7</v>
      </c>
      <c r="C25" s="120">
        <v>855</v>
      </c>
      <c r="D25" s="52">
        <v>25</v>
      </c>
      <c r="E25" s="52">
        <v>16.52</v>
      </c>
      <c r="F25" s="52">
        <v>40.08</v>
      </c>
      <c r="G25" s="52">
        <v>40.06</v>
      </c>
      <c r="H25" s="52">
        <v>1</v>
      </c>
      <c r="I25" s="52">
        <f t="shared" si="0"/>
        <v>0.99915110356536518</v>
      </c>
      <c r="J25" s="43">
        <v>0.6</v>
      </c>
    </row>
    <row r="26" spans="1:24">
      <c r="A26" s="120"/>
      <c r="B26" s="120"/>
      <c r="C26" s="120"/>
      <c r="D26" s="52">
        <v>25</v>
      </c>
      <c r="E26" s="52">
        <v>16.52</v>
      </c>
      <c r="F26" s="52">
        <v>40.08</v>
      </c>
      <c r="G26" s="52">
        <v>40.06</v>
      </c>
      <c r="H26" s="52">
        <v>2</v>
      </c>
      <c r="I26" s="52">
        <f t="shared" si="0"/>
        <v>0.99915110356536518</v>
      </c>
      <c r="J26" s="43">
        <v>0.6</v>
      </c>
      <c r="L26" s="42" t="s">
        <v>29</v>
      </c>
      <c r="M26" s="1">
        <f>(O23/Q11)^0.5</f>
        <v>6.936360374007032E-2</v>
      </c>
    </row>
    <row r="27" spans="1:24">
      <c r="A27" s="120"/>
      <c r="B27" s="120"/>
      <c r="C27" s="120"/>
      <c r="D27" s="52">
        <v>25</v>
      </c>
      <c r="E27" s="52">
        <v>16.52</v>
      </c>
      <c r="F27" s="52">
        <v>40.090000000000003</v>
      </c>
      <c r="G27" s="52">
        <v>40.06</v>
      </c>
      <c r="H27" s="52">
        <v>3</v>
      </c>
      <c r="I27" s="52">
        <f t="shared" si="0"/>
        <v>0.99872719558761136</v>
      </c>
      <c r="J27" s="43">
        <v>0.87</v>
      </c>
    </row>
    <row r="30" spans="1:24"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>
      <c r="B31" s="111" t="s">
        <v>31</v>
      </c>
      <c r="C31" s="111" t="s">
        <v>32</v>
      </c>
      <c r="D31" s="111" t="s">
        <v>33</v>
      </c>
      <c r="E31" s="111" t="s">
        <v>11</v>
      </c>
      <c r="F31" s="113" t="s">
        <v>1</v>
      </c>
      <c r="G31" s="113"/>
      <c r="H31" s="113"/>
      <c r="I31" s="113"/>
      <c r="J31" s="113"/>
      <c r="K31" s="113"/>
      <c r="L31" s="113"/>
      <c r="M31" s="125"/>
      <c r="N31" s="126"/>
      <c r="O31" s="126"/>
      <c r="P31" s="126"/>
      <c r="Q31" s="126"/>
      <c r="R31" s="126"/>
      <c r="S31" s="126"/>
      <c r="T31" s="126"/>
      <c r="U31" s="116" t="s">
        <v>66</v>
      </c>
    </row>
    <row r="32" spans="1:24" ht="16.5" customHeight="1">
      <c r="B32" s="111"/>
      <c r="C32" s="127"/>
      <c r="D32" s="111"/>
      <c r="E32" s="111"/>
      <c r="F32" s="50">
        <v>1</v>
      </c>
      <c r="G32" s="50"/>
      <c r="H32" s="50">
        <v>2</v>
      </c>
      <c r="I32" s="50"/>
      <c r="J32" s="50">
        <v>3</v>
      </c>
      <c r="K32" s="50"/>
      <c r="L32" s="50">
        <v>4</v>
      </c>
      <c r="M32" s="50"/>
      <c r="N32" s="50">
        <v>5</v>
      </c>
      <c r="O32" s="50"/>
      <c r="P32" s="50">
        <v>6</v>
      </c>
      <c r="Q32" s="50"/>
      <c r="R32" s="50">
        <v>7</v>
      </c>
      <c r="S32" s="50"/>
      <c r="T32" s="50">
        <v>8</v>
      </c>
      <c r="U32" s="117"/>
    </row>
    <row r="33" spans="2:21">
      <c r="B33" s="43" t="s">
        <v>34</v>
      </c>
      <c r="C33" s="44" t="s">
        <v>34</v>
      </c>
      <c r="D33" s="45" t="s">
        <v>10</v>
      </c>
      <c r="E33" s="46">
        <f>T9</f>
        <v>0.31</v>
      </c>
      <c r="F33" s="43" t="s">
        <v>34</v>
      </c>
      <c r="G33" s="43"/>
      <c r="H33" s="43"/>
      <c r="I33" s="43"/>
      <c r="J33" s="43"/>
      <c r="K33" s="43"/>
      <c r="L33" s="43"/>
      <c r="M33" s="43"/>
      <c r="N33" s="43"/>
      <c r="O33" s="43"/>
      <c r="P33" s="45"/>
      <c r="Q33" s="45"/>
      <c r="R33" s="45"/>
      <c r="S33" s="45"/>
      <c r="T33" s="45"/>
      <c r="U33" s="47" t="s">
        <v>35</v>
      </c>
    </row>
    <row r="34" spans="2:21">
      <c r="B34" s="43">
        <v>3.03</v>
      </c>
      <c r="C34" s="44">
        <f>M26*B34</f>
        <v>0.21017171933241305</v>
      </c>
      <c r="D34" s="45" t="s">
        <v>9</v>
      </c>
      <c r="E34" s="46">
        <f>S9</f>
        <v>0.31</v>
      </c>
      <c r="F34" s="46">
        <f>(E34-E33)</f>
        <v>0</v>
      </c>
      <c r="G34" s="46" t="s">
        <v>67</v>
      </c>
      <c r="H34" s="43" t="s">
        <v>34</v>
      </c>
      <c r="I34" s="43"/>
      <c r="J34" s="43"/>
      <c r="K34" s="43"/>
      <c r="L34" s="43"/>
      <c r="M34" s="43"/>
      <c r="N34" s="43"/>
      <c r="O34" s="43"/>
      <c r="P34" s="45"/>
      <c r="Q34" s="45"/>
      <c r="R34" s="45"/>
      <c r="S34" s="45"/>
      <c r="T34" s="45"/>
      <c r="U34" s="47" t="s">
        <v>35</v>
      </c>
    </row>
    <row r="35" spans="2:21">
      <c r="B35" s="43">
        <v>3.18</v>
      </c>
      <c r="C35" s="44">
        <f>M26*B35</f>
        <v>0.22057625989342364</v>
      </c>
      <c r="D35" s="45" t="s">
        <v>8</v>
      </c>
      <c r="E35" s="46">
        <f>R9</f>
        <v>0.6</v>
      </c>
      <c r="F35" s="46">
        <f>(E35-E33)</f>
        <v>0.28999999999999998</v>
      </c>
      <c r="G35" s="46" t="s">
        <v>68</v>
      </c>
      <c r="H35" s="46">
        <f>(E35-E34)</f>
        <v>0.28999999999999998</v>
      </c>
      <c r="I35" s="46" t="s">
        <v>68</v>
      </c>
      <c r="J35" s="43" t="s">
        <v>34</v>
      </c>
      <c r="K35" s="43"/>
      <c r="L35" s="43"/>
      <c r="M35" s="43"/>
      <c r="N35" s="43"/>
      <c r="O35" s="43"/>
      <c r="P35" s="45"/>
      <c r="Q35" s="45"/>
      <c r="R35" s="45"/>
      <c r="S35" s="45"/>
      <c r="T35" s="45"/>
      <c r="U35" s="47" t="s">
        <v>36</v>
      </c>
    </row>
    <row r="36" spans="2:21">
      <c r="B36" s="43">
        <v>3.27</v>
      </c>
      <c r="C36" s="44">
        <f>M26*B36</f>
        <v>0.22681898423002994</v>
      </c>
      <c r="D36" s="45" t="s">
        <v>7</v>
      </c>
      <c r="E36" s="46">
        <f>Q9</f>
        <v>0.69</v>
      </c>
      <c r="F36" s="46">
        <f>(E36-E33)</f>
        <v>0.37999999999999995</v>
      </c>
      <c r="G36" s="46" t="s">
        <v>68</v>
      </c>
      <c r="H36" s="46">
        <f>(E36-E34)</f>
        <v>0.37999999999999995</v>
      </c>
      <c r="I36" s="46" t="s">
        <v>68</v>
      </c>
      <c r="J36" s="46">
        <f>(E36-E35)</f>
        <v>8.9999999999999969E-2</v>
      </c>
      <c r="K36" s="46" t="s">
        <v>67</v>
      </c>
      <c r="L36" s="43" t="s">
        <v>34</v>
      </c>
      <c r="M36" s="43"/>
      <c r="N36" s="43"/>
      <c r="O36" s="43"/>
      <c r="P36" s="45"/>
      <c r="Q36" s="45"/>
      <c r="R36" s="45"/>
      <c r="S36" s="45"/>
      <c r="T36" s="45"/>
      <c r="U36" s="47" t="s">
        <v>42</v>
      </c>
    </row>
    <row r="37" spans="2:21">
      <c r="B37" s="43">
        <v>3.33</v>
      </c>
      <c r="C37" s="44">
        <f>M26*B37</f>
        <v>0.23098080045443417</v>
      </c>
      <c r="D37" s="45" t="s">
        <v>6</v>
      </c>
      <c r="E37" s="47">
        <f>P9</f>
        <v>0.69</v>
      </c>
      <c r="F37" s="47">
        <f>(E37-E33)</f>
        <v>0.37999999999999995</v>
      </c>
      <c r="G37" s="47" t="s">
        <v>68</v>
      </c>
      <c r="H37" s="46">
        <f>(E37-E34)</f>
        <v>0.37999999999999995</v>
      </c>
      <c r="I37" s="46" t="s">
        <v>68</v>
      </c>
      <c r="J37" s="46">
        <f>(E37-E35)</f>
        <v>8.9999999999999969E-2</v>
      </c>
      <c r="K37" s="46" t="s">
        <v>67</v>
      </c>
      <c r="L37" s="47">
        <f>(E37-E36)</f>
        <v>0</v>
      </c>
      <c r="M37" s="47" t="s">
        <v>67</v>
      </c>
      <c r="N37" s="45" t="s">
        <v>34</v>
      </c>
      <c r="O37" s="45"/>
      <c r="P37" s="45"/>
      <c r="Q37" s="45"/>
      <c r="R37" s="45"/>
      <c r="S37" s="45"/>
      <c r="T37" s="45"/>
      <c r="U37" s="47" t="s">
        <v>42</v>
      </c>
    </row>
    <row r="38" spans="2:21">
      <c r="B38" s="43">
        <v>3.37</v>
      </c>
      <c r="C38" s="44">
        <f>M26*B38</f>
        <v>0.23375534460403699</v>
      </c>
      <c r="D38" s="45" t="s">
        <v>5</v>
      </c>
      <c r="E38" s="47">
        <f>O9</f>
        <v>0.87</v>
      </c>
      <c r="F38" s="47">
        <f>(E38-E33)</f>
        <v>0.56000000000000005</v>
      </c>
      <c r="G38" s="47" t="s">
        <v>68</v>
      </c>
      <c r="H38" s="46">
        <f>(E38-E34)</f>
        <v>0.56000000000000005</v>
      </c>
      <c r="I38" s="46" t="s">
        <v>68</v>
      </c>
      <c r="J38" s="46">
        <f>(E38-E35)</f>
        <v>0.27</v>
      </c>
      <c r="K38" s="46" t="s">
        <v>68</v>
      </c>
      <c r="L38" s="47">
        <f>(E38-E36)</f>
        <v>0.18000000000000005</v>
      </c>
      <c r="M38" s="47" t="s">
        <v>67</v>
      </c>
      <c r="N38" s="47">
        <f>(E38-E37)</f>
        <v>0.18000000000000005</v>
      </c>
      <c r="O38" s="47" t="s">
        <v>67</v>
      </c>
      <c r="P38" s="45" t="s">
        <v>34</v>
      </c>
      <c r="Q38" s="45"/>
      <c r="R38" s="45"/>
      <c r="S38" s="45"/>
      <c r="T38" s="45"/>
      <c r="U38" s="47" t="s">
        <v>69</v>
      </c>
    </row>
    <row r="39" spans="2:21">
      <c r="B39" s="43">
        <v>3.39</v>
      </c>
      <c r="C39" s="44">
        <f>M26*B39</f>
        <v>0.2351426166788384</v>
      </c>
      <c r="D39" s="45" t="s">
        <v>4</v>
      </c>
      <c r="E39" s="47">
        <f>N9</f>
        <v>0.95666666666666667</v>
      </c>
      <c r="F39" s="47">
        <f>(E39-E33)</f>
        <v>0.64666666666666672</v>
      </c>
      <c r="G39" s="47" t="s">
        <v>68</v>
      </c>
      <c r="H39" s="46">
        <f>(E39-E34)</f>
        <v>0.64666666666666672</v>
      </c>
      <c r="I39" s="46" t="s">
        <v>68</v>
      </c>
      <c r="J39" s="46">
        <f>(E39-E35)</f>
        <v>0.35666666666666669</v>
      </c>
      <c r="K39" s="46" t="s">
        <v>68</v>
      </c>
      <c r="L39" s="47">
        <f>(E39-E36)</f>
        <v>0.26666666666666672</v>
      </c>
      <c r="M39" s="47" t="s">
        <v>68</v>
      </c>
      <c r="N39" s="47">
        <f>(E39-E37)</f>
        <v>0.26666666666666672</v>
      </c>
      <c r="O39" s="47" t="s">
        <v>68</v>
      </c>
      <c r="P39" s="45">
        <f>(E39-E38)</f>
        <v>8.666666666666667E-2</v>
      </c>
      <c r="Q39" s="45" t="s">
        <v>67</v>
      </c>
      <c r="R39" s="45" t="s">
        <v>34</v>
      </c>
      <c r="S39" s="45"/>
      <c r="T39" s="45"/>
      <c r="U39" s="47" t="s">
        <v>70</v>
      </c>
    </row>
    <row r="40" spans="2:21">
      <c r="B40" s="43">
        <v>3.41</v>
      </c>
      <c r="C40" s="44">
        <f>M26*B40</f>
        <v>0.23652988875363981</v>
      </c>
      <c r="D40" s="45" t="s">
        <v>3</v>
      </c>
      <c r="E40" s="47">
        <f>M9</f>
        <v>1.1566666666666665</v>
      </c>
      <c r="F40" s="47">
        <f>(E40-E33)</f>
        <v>0.84666666666666646</v>
      </c>
      <c r="G40" s="47" t="s">
        <v>68</v>
      </c>
      <c r="H40" s="46">
        <f>(E40-E34)</f>
        <v>0.84666666666666646</v>
      </c>
      <c r="I40" s="46" t="s">
        <v>68</v>
      </c>
      <c r="J40" s="46">
        <f>(E40-E35)</f>
        <v>0.55666666666666653</v>
      </c>
      <c r="K40" s="46" t="s">
        <v>68</v>
      </c>
      <c r="L40" s="47">
        <f>(E40-E36)</f>
        <v>0.46666666666666656</v>
      </c>
      <c r="M40" s="47" t="s">
        <v>68</v>
      </c>
      <c r="N40" s="47">
        <f>(E40-E37)</f>
        <v>0.46666666666666656</v>
      </c>
      <c r="O40" s="47" t="s">
        <v>68</v>
      </c>
      <c r="P40" s="45">
        <f>(E40-E38)</f>
        <v>0.28666666666666651</v>
      </c>
      <c r="Q40" s="45" t="s">
        <v>68</v>
      </c>
      <c r="R40" s="45">
        <f>(E40-E39)</f>
        <v>0.19999999999999984</v>
      </c>
      <c r="S40" s="45" t="s">
        <v>67</v>
      </c>
      <c r="T40" s="45" t="s">
        <v>34</v>
      </c>
      <c r="U40" s="47" t="s">
        <v>39</v>
      </c>
    </row>
    <row r="42" spans="2:21">
      <c r="D42" s="51" t="s">
        <v>82</v>
      </c>
      <c r="E42" s="51" t="s">
        <v>80</v>
      </c>
    </row>
    <row r="43" spans="2:21">
      <c r="D43" s="51" t="s">
        <v>3</v>
      </c>
      <c r="E43" s="1">
        <f>E40</f>
        <v>1.1566666666666665</v>
      </c>
    </row>
    <row r="44" spans="2:21">
      <c r="D44" s="51" t="s">
        <v>4</v>
      </c>
      <c r="E44" s="1">
        <f>E39</f>
        <v>0.95666666666666667</v>
      </c>
    </row>
    <row r="45" spans="2:21">
      <c r="D45" s="51" t="s">
        <v>5</v>
      </c>
      <c r="E45" s="1">
        <f>E38</f>
        <v>0.87</v>
      </c>
    </row>
    <row r="46" spans="2:21">
      <c r="D46" s="51" t="s">
        <v>6</v>
      </c>
      <c r="E46" s="1">
        <f>E37</f>
        <v>0.69</v>
      </c>
    </row>
    <row r="47" spans="2:21">
      <c r="D47" s="51" t="s">
        <v>7</v>
      </c>
      <c r="E47" s="1">
        <f>E36</f>
        <v>0.69</v>
      </c>
    </row>
    <row r="48" spans="2:21">
      <c r="D48" s="51" t="s">
        <v>8</v>
      </c>
      <c r="E48" s="1">
        <f>E35</f>
        <v>0.6</v>
      </c>
    </row>
    <row r="49" spans="4:5">
      <c r="D49" s="51" t="s">
        <v>9</v>
      </c>
      <c r="E49" s="1">
        <f>E34</f>
        <v>0.31</v>
      </c>
    </row>
    <row r="50" spans="4:5">
      <c r="D50" s="51" t="s">
        <v>10</v>
      </c>
      <c r="E50" s="1">
        <f>E33</f>
        <v>0.31</v>
      </c>
    </row>
  </sheetData>
  <mergeCells count="34">
    <mergeCell ref="C7:C9"/>
    <mergeCell ref="A2:J2"/>
    <mergeCell ref="L3:L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M3:T3"/>
    <mergeCell ref="U3:U4"/>
    <mergeCell ref="A22:A24"/>
    <mergeCell ref="B22:B24"/>
    <mergeCell ref="C22:C24"/>
    <mergeCell ref="A10:A12"/>
    <mergeCell ref="B10:B12"/>
    <mergeCell ref="C10:C12"/>
    <mergeCell ref="A13:A15"/>
    <mergeCell ref="B13:B15"/>
    <mergeCell ref="C13:C15"/>
    <mergeCell ref="A4:A6"/>
    <mergeCell ref="B4:B6"/>
    <mergeCell ref="C4:C6"/>
    <mergeCell ref="A7:A9"/>
    <mergeCell ref="B7:B9"/>
    <mergeCell ref="F31:T31"/>
    <mergeCell ref="U31:U32"/>
    <mergeCell ref="B31:B32"/>
    <mergeCell ref="D31:D32"/>
    <mergeCell ref="E31:E32"/>
    <mergeCell ref="C31:C32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7"/>
  <sheetViews>
    <sheetView workbookViewId="0">
      <selection activeCell="A2" sqref="A2:N27"/>
    </sheetView>
  </sheetViews>
  <sheetFormatPr defaultRowHeight="15"/>
  <cols>
    <col min="4" max="4" width="10.140625" bestFit="1" customWidth="1"/>
    <col min="11" max="11" width="10.140625" bestFit="1" customWidth="1"/>
    <col min="12" max="14" width="11.28515625" customWidth="1"/>
    <col min="15" max="15" width="10.85546875" customWidth="1"/>
    <col min="16" max="16" width="13.42578125" customWidth="1"/>
    <col min="17" max="17" width="10.5703125" customWidth="1"/>
    <col min="18" max="18" width="12.42578125" customWidth="1"/>
    <col min="19" max="19" width="14.85546875" bestFit="1" customWidth="1"/>
    <col min="20" max="20" width="12.28515625" customWidth="1"/>
  </cols>
  <sheetData>
    <row r="2" spans="1:25" ht="15.75">
      <c r="A2" s="120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25" ht="15.75">
      <c r="A3" s="52" t="s">
        <v>44</v>
      </c>
      <c r="B3" s="52" t="s">
        <v>45</v>
      </c>
      <c r="C3" s="52" t="s">
        <v>33</v>
      </c>
      <c r="D3" s="52" t="s">
        <v>72</v>
      </c>
      <c r="E3" s="52" t="s">
        <v>56</v>
      </c>
      <c r="F3" s="52" t="s">
        <v>57</v>
      </c>
      <c r="G3" s="52" t="s">
        <v>58</v>
      </c>
      <c r="H3" s="52" t="s">
        <v>73</v>
      </c>
      <c r="I3" s="52" t="s">
        <v>74</v>
      </c>
      <c r="J3" s="52" t="s">
        <v>17</v>
      </c>
      <c r="K3" s="52" t="s">
        <v>75</v>
      </c>
      <c r="L3" s="52" t="s">
        <v>77</v>
      </c>
      <c r="M3" s="59" t="s">
        <v>76</v>
      </c>
      <c r="N3" s="52" t="s">
        <v>78</v>
      </c>
      <c r="P3" s="104" t="s">
        <v>0</v>
      </c>
      <c r="Q3" s="106" t="s">
        <v>1</v>
      </c>
      <c r="R3" s="107"/>
      <c r="S3" s="107"/>
      <c r="T3" s="107"/>
      <c r="U3" s="107"/>
      <c r="V3" s="107"/>
      <c r="W3" s="107"/>
      <c r="X3" s="108"/>
      <c r="Y3" s="109" t="s">
        <v>2</v>
      </c>
    </row>
    <row r="4" spans="1:25" ht="15.75">
      <c r="A4" s="120">
        <v>1</v>
      </c>
      <c r="B4" s="120" t="s">
        <v>8</v>
      </c>
      <c r="C4" s="128" t="s">
        <v>49</v>
      </c>
      <c r="D4" s="52">
        <v>25</v>
      </c>
      <c r="E4" s="62">
        <v>16.52</v>
      </c>
      <c r="F4" s="62">
        <v>40.090000000000003</v>
      </c>
      <c r="G4" s="52">
        <f>40.96</f>
        <v>40.96</v>
      </c>
      <c r="H4" s="52">
        <v>5.45</v>
      </c>
      <c r="I4" s="52">
        <v>6.5</v>
      </c>
      <c r="J4" s="52">
        <v>1</v>
      </c>
      <c r="K4" s="52">
        <f>(F4-E4)/D4</f>
        <v>0.94280000000000019</v>
      </c>
      <c r="L4" s="52">
        <v>8.9370000000000005E-3</v>
      </c>
      <c r="M4" s="52">
        <f>(G4-E4)/D4</f>
        <v>0.97760000000000002</v>
      </c>
      <c r="N4" s="52">
        <f>((M4*I4)/(K4*H4)*L4)</f>
        <v>1.1052238072810637E-2</v>
      </c>
      <c r="P4" s="105"/>
      <c r="Q4" s="53" t="s">
        <v>3</v>
      </c>
      <c r="R4" s="53" t="s">
        <v>4</v>
      </c>
      <c r="S4" s="53" t="s">
        <v>5</v>
      </c>
      <c r="T4" s="53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110"/>
    </row>
    <row r="5" spans="1:25" ht="15.75">
      <c r="A5" s="120"/>
      <c r="B5" s="120"/>
      <c r="C5" s="128"/>
      <c r="D5" s="62">
        <v>25</v>
      </c>
      <c r="E5" s="62">
        <v>16.52</v>
      </c>
      <c r="F5" s="62">
        <v>40.090000000000003</v>
      </c>
      <c r="G5" s="52">
        <f>40.96</f>
        <v>40.96</v>
      </c>
      <c r="H5" s="52">
        <v>5.45</v>
      </c>
      <c r="I5" s="52">
        <v>6.51</v>
      </c>
      <c r="J5" s="52">
        <v>2</v>
      </c>
      <c r="K5" s="62">
        <f t="shared" ref="K5:K27" si="0">(F5-E5)/D5</f>
        <v>0.94280000000000019</v>
      </c>
      <c r="L5" s="62">
        <v>8.9370000000000005E-3</v>
      </c>
      <c r="M5" s="62">
        <f t="shared" ref="M5:M27" si="1">(G5-E5)/D5</f>
        <v>0.97760000000000002</v>
      </c>
      <c r="N5" s="62">
        <f t="shared" ref="N5:N27" si="2">((M5*I5)/(K5*H5)*L5)</f>
        <v>1.1069241515999575E-2</v>
      </c>
      <c r="P5" s="53">
        <v>1</v>
      </c>
      <c r="Q5" s="61">
        <f>N16</f>
        <v>2.0664192672227556E-2</v>
      </c>
      <c r="R5" s="61">
        <f>N22</f>
        <v>1.4707213064344738E-2</v>
      </c>
      <c r="S5" s="61">
        <f>N7</f>
        <v>1.4005723631735252E-2</v>
      </c>
      <c r="T5" s="61">
        <f>N13</f>
        <v>1.3625087224079745E-2</v>
      </c>
      <c r="U5" s="61">
        <f>N25</f>
        <v>1.255021776321167E-2</v>
      </c>
      <c r="V5" s="61">
        <f>N4</f>
        <v>1.1052238072810637E-2</v>
      </c>
      <c r="W5" s="61">
        <f>N10</f>
        <v>1.0940296419410458E-2</v>
      </c>
      <c r="X5" s="61">
        <f>N19</f>
        <v>1.0549370284882429E-2</v>
      </c>
      <c r="Y5" s="61">
        <f>SUM(Q5:X5)</f>
        <v>0.10809433913270249</v>
      </c>
    </row>
    <row r="6" spans="1:25" ht="15.75">
      <c r="A6" s="120"/>
      <c r="B6" s="120"/>
      <c r="C6" s="128"/>
      <c r="D6" s="62">
        <v>25</v>
      </c>
      <c r="E6" s="62">
        <v>16.52</v>
      </c>
      <c r="F6" s="62">
        <v>40.090000000000003</v>
      </c>
      <c r="G6" s="52">
        <f>40.96</f>
        <v>40.96</v>
      </c>
      <c r="H6" s="52">
        <v>5.45</v>
      </c>
      <c r="I6" s="52">
        <v>6.53</v>
      </c>
      <c r="J6" s="52">
        <v>3</v>
      </c>
      <c r="K6" s="62">
        <f t="shared" si="0"/>
        <v>0.94280000000000019</v>
      </c>
      <c r="L6" s="62">
        <v>8.9370000000000005E-3</v>
      </c>
      <c r="M6" s="62">
        <f t="shared" si="1"/>
        <v>0.97760000000000002</v>
      </c>
      <c r="N6" s="62">
        <f t="shared" si="2"/>
        <v>1.1103248402377456E-2</v>
      </c>
      <c r="P6" s="53">
        <v>2</v>
      </c>
      <c r="Q6" s="61">
        <f>N17</f>
        <v>2.0690275286186374E-2</v>
      </c>
      <c r="R6" s="61">
        <f>N23</f>
        <v>1.4689472155943838E-2</v>
      </c>
      <c r="S6" s="61">
        <f>N8</f>
        <v>1.3935956639796349E-2</v>
      </c>
      <c r="T6" s="61">
        <f>N14</f>
        <v>1.3504358603106887E-2</v>
      </c>
      <c r="U6" s="61">
        <f>N26</f>
        <v>1.2521060058463367E-2</v>
      </c>
      <c r="V6" s="61">
        <f>N5</f>
        <v>1.1069241515999575E-2</v>
      </c>
      <c r="W6" s="61">
        <f>N11</f>
        <v>1.1025104918785734E-2</v>
      </c>
      <c r="X6" s="61">
        <f>N20</f>
        <v>1.0481746116389593E-2</v>
      </c>
      <c r="Y6" s="61">
        <f t="shared" ref="Y6:Y7" si="3">SUM(Q6:X6)</f>
        <v>0.1079172152946717</v>
      </c>
    </row>
    <row r="7" spans="1:25" ht="15.75">
      <c r="A7" s="120">
        <v>2</v>
      </c>
      <c r="B7" s="120" t="s">
        <v>5</v>
      </c>
      <c r="C7" s="120">
        <v>152</v>
      </c>
      <c r="D7" s="62">
        <v>25</v>
      </c>
      <c r="E7" s="62">
        <v>16.52</v>
      </c>
      <c r="F7" s="62">
        <v>40.090000000000003</v>
      </c>
      <c r="G7" s="52">
        <f>41.59</f>
        <v>41.59</v>
      </c>
      <c r="H7" s="52">
        <v>5.45</v>
      </c>
      <c r="I7" s="52">
        <v>8.0299999999999994</v>
      </c>
      <c r="J7" s="52">
        <v>1</v>
      </c>
      <c r="K7" s="62">
        <f t="shared" si="0"/>
        <v>0.94280000000000019</v>
      </c>
      <c r="L7" s="62">
        <v>8.9370000000000005E-3</v>
      </c>
      <c r="M7" s="62">
        <f t="shared" si="1"/>
        <v>1.0028000000000001</v>
      </c>
      <c r="N7" s="62">
        <f t="shared" si="2"/>
        <v>1.4005723631735252E-2</v>
      </c>
      <c r="P7" s="53">
        <v>3</v>
      </c>
      <c r="Q7" s="61">
        <f>N18</f>
        <v>2.0762936481221267E-2</v>
      </c>
      <c r="R7" s="61">
        <f>N24</f>
        <v>1.4748476330119531E-2</v>
      </c>
      <c r="S7" s="61">
        <f>N9</f>
        <v>1.3848747899872718E-2</v>
      </c>
      <c r="T7" s="61">
        <f>N15</f>
        <v>1.3538852494813418E-2</v>
      </c>
      <c r="U7" s="61">
        <f>N27</f>
        <v>1.2618704626858119E-2</v>
      </c>
      <c r="V7" s="61">
        <f>N6</f>
        <v>1.1103248402377456E-2</v>
      </c>
      <c r="W7" s="61">
        <f>N12</f>
        <v>1.1025104918785734E-2</v>
      </c>
      <c r="X7" s="61">
        <f>N21</f>
        <v>1.0397215905773548E-2</v>
      </c>
      <c r="Y7" s="61">
        <f t="shared" si="3"/>
        <v>0.1080432870598218</v>
      </c>
    </row>
    <row r="8" spans="1:25" ht="15.75">
      <c r="A8" s="120"/>
      <c r="B8" s="120"/>
      <c r="C8" s="120"/>
      <c r="D8" s="62">
        <v>25</v>
      </c>
      <c r="E8" s="62">
        <v>16.52</v>
      </c>
      <c r="F8" s="62">
        <v>40.090000000000003</v>
      </c>
      <c r="G8" s="52">
        <f>41.59</f>
        <v>41.59</v>
      </c>
      <c r="H8" s="52">
        <v>5.45</v>
      </c>
      <c r="I8" s="52">
        <v>7.99</v>
      </c>
      <c r="J8" s="52">
        <v>2</v>
      </c>
      <c r="K8" s="62">
        <f t="shared" si="0"/>
        <v>0.94280000000000019</v>
      </c>
      <c r="L8" s="62">
        <v>8.9370000000000005E-3</v>
      </c>
      <c r="M8" s="62">
        <f t="shared" si="1"/>
        <v>1.0028000000000001</v>
      </c>
      <c r="N8" s="62">
        <f t="shared" si="2"/>
        <v>1.3935956639796349E-2</v>
      </c>
      <c r="P8" s="53" t="s">
        <v>2</v>
      </c>
      <c r="Q8" s="61">
        <f>SUM(Q5:Q7)</f>
        <v>6.2117404439635197E-2</v>
      </c>
      <c r="R8" s="61">
        <f t="shared" ref="R8:Y8" si="4">SUM(R5:R7)</f>
        <v>4.414516155040811E-2</v>
      </c>
      <c r="S8" s="61">
        <f t="shared" si="4"/>
        <v>4.1790428171404319E-2</v>
      </c>
      <c r="T8" s="61">
        <f t="shared" si="4"/>
        <v>4.066829832200005E-2</v>
      </c>
      <c r="U8" s="61">
        <f t="shared" si="4"/>
        <v>3.7689982448533152E-2</v>
      </c>
      <c r="V8" s="61">
        <f t="shared" si="4"/>
        <v>3.3224727991187669E-2</v>
      </c>
      <c r="W8" s="61">
        <f t="shared" si="4"/>
        <v>3.2990506256981925E-2</v>
      </c>
      <c r="X8" s="61">
        <f t="shared" si="4"/>
        <v>3.1428332307045573E-2</v>
      </c>
      <c r="Y8" s="61">
        <f t="shared" si="4"/>
        <v>0.32405484148719599</v>
      </c>
    </row>
    <row r="9" spans="1:25" ht="15.75">
      <c r="A9" s="120"/>
      <c r="B9" s="120"/>
      <c r="C9" s="120"/>
      <c r="D9" s="62">
        <v>25</v>
      </c>
      <c r="E9" s="62">
        <v>16.52</v>
      </c>
      <c r="F9" s="62">
        <v>40.090000000000003</v>
      </c>
      <c r="G9" s="52">
        <f>41.59</f>
        <v>41.59</v>
      </c>
      <c r="H9" s="52">
        <v>5.45</v>
      </c>
      <c r="I9" s="52">
        <v>7.94</v>
      </c>
      <c r="J9" s="52">
        <v>3</v>
      </c>
      <c r="K9" s="62">
        <f t="shared" si="0"/>
        <v>0.94280000000000019</v>
      </c>
      <c r="L9" s="62">
        <v>8.9370000000000005E-3</v>
      </c>
      <c r="M9" s="62">
        <f t="shared" si="1"/>
        <v>1.0028000000000001</v>
      </c>
      <c r="N9" s="62">
        <f t="shared" si="2"/>
        <v>1.3848747899872718E-2</v>
      </c>
      <c r="P9" s="53" t="s">
        <v>11</v>
      </c>
      <c r="Q9" s="61">
        <f>AVERAGE(Q5:Q7)</f>
        <v>2.07058014798784E-2</v>
      </c>
      <c r="R9" s="61">
        <f t="shared" ref="R9:Y9" si="5">AVERAGE(R5:R7)</f>
        <v>1.4715053850136037E-2</v>
      </c>
      <c r="S9" s="61">
        <f t="shared" si="5"/>
        <v>1.393014272380144E-2</v>
      </c>
      <c r="T9" s="61">
        <f t="shared" si="5"/>
        <v>1.3556099440666684E-2</v>
      </c>
      <c r="U9" s="61">
        <f t="shared" si="5"/>
        <v>1.2563327482844383E-2</v>
      </c>
      <c r="V9" s="61">
        <f t="shared" si="5"/>
        <v>1.107490933039589E-2</v>
      </c>
      <c r="W9" s="61">
        <f t="shared" si="5"/>
        <v>1.0996835418993975E-2</v>
      </c>
      <c r="X9" s="61">
        <f t="shared" si="5"/>
        <v>1.047611076901519E-2</v>
      </c>
      <c r="Y9" s="61">
        <f t="shared" si="5"/>
        <v>0.10801828049573199</v>
      </c>
    </row>
    <row r="10" spans="1:25" ht="15.75">
      <c r="A10" s="120">
        <v>3</v>
      </c>
      <c r="B10" s="120" t="s">
        <v>9</v>
      </c>
      <c r="C10" s="120">
        <v>433</v>
      </c>
      <c r="D10" s="62">
        <v>25</v>
      </c>
      <c r="E10" s="62">
        <v>16.52</v>
      </c>
      <c r="F10" s="62">
        <v>40.090000000000003</v>
      </c>
      <c r="G10" s="52">
        <f>40.9</f>
        <v>40.9</v>
      </c>
      <c r="H10" s="52">
        <v>5.45</v>
      </c>
      <c r="I10" s="52">
        <v>6.45</v>
      </c>
      <c r="J10" s="52">
        <v>1</v>
      </c>
      <c r="K10" s="62">
        <f t="shared" si="0"/>
        <v>0.94280000000000019</v>
      </c>
      <c r="L10" s="62">
        <v>8.9370000000000005E-3</v>
      </c>
      <c r="M10" s="62">
        <f t="shared" si="1"/>
        <v>0.97519999999999996</v>
      </c>
      <c r="N10" s="62">
        <f t="shared" si="2"/>
        <v>1.0940296419410458E-2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5.75">
      <c r="A11" s="120"/>
      <c r="B11" s="120"/>
      <c r="C11" s="120"/>
      <c r="D11" s="62">
        <v>25</v>
      </c>
      <c r="E11" s="62">
        <v>16.52</v>
      </c>
      <c r="F11" s="62">
        <v>40.090000000000003</v>
      </c>
      <c r="G11" s="52">
        <f>40.9</f>
        <v>40.9</v>
      </c>
      <c r="H11" s="52">
        <v>5.45</v>
      </c>
      <c r="I11" s="52">
        <v>6.5</v>
      </c>
      <c r="J11" s="52">
        <v>2</v>
      </c>
      <c r="K11" s="62">
        <f t="shared" si="0"/>
        <v>0.94280000000000019</v>
      </c>
      <c r="L11" s="62">
        <v>8.9370000000000005E-3</v>
      </c>
      <c r="M11" s="62">
        <f t="shared" si="1"/>
        <v>0.97519999999999996</v>
      </c>
      <c r="N11" s="62">
        <f t="shared" si="2"/>
        <v>1.1025104918785734E-2</v>
      </c>
      <c r="P11" s="51" t="s">
        <v>60</v>
      </c>
      <c r="Q11" s="54">
        <v>24</v>
      </c>
      <c r="R11" s="51" t="s">
        <v>61</v>
      </c>
      <c r="S11" s="54">
        <v>8</v>
      </c>
      <c r="T11" s="51" t="s">
        <v>62</v>
      </c>
      <c r="U11" s="54">
        <v>3</v>
      </c>
      <c r="V11" s="51"/>
      <c r="W11" s="51"/>
      <c r="X11" s="51"/>
      <c r="Y11" s="51"/>
    </row>
    <row r="12" spans="1:25" ht="15.75">
      <c r="A12" s="120"/>
      <c r="B12" s="120"/>
      <c r="C12" s="120"/>
      <c r="D12" s="62">
        <v>25</v>
      </c>
      <c r="E12" s="62">
        <v>16.52</v>
      </c>
      <c r="F12" s="62">
        <v>40.090000000000003</v>
      </c>
      <c r="G12" s="52">
        <f>40.9</f>
        <v>40.9</v>
      </c>
      <c r="H12" s="52">
        <v>5.45</v>
      </c>
      <c r="I12" s="52">
        <v>6.5</v>
      </c>
      <c r="J12" s="52">
        <v>3</v>
      </c>
      <c r="K12" s="62">
        <f t="shared" si="0"/>
        <v>0.94280000000000019</v>
      </c>
      <c r="L12" s="62">
        <v>8.9370000000000005E-3</v>
      </c>
      <c r="M12" s="62">
        <f t="shared" si="1"/>
        <v>0.97519999999999996</v>
      </c>
      <c r="N12" s="62">
        <f t="shared" si="2"/>
        <v>1.1025104918785734E-2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5.75">
      <c r="A13" s="120">
        <v>4</v>
      </c>
      <c r="B13" s="120" t="s">
        <v>6</v>
      </c>
      <c r="C13" s="120">
        <v>510</v>
      </c>
      <c r="D13" s="62">
        <v>25</v>
      </c>
      <c r="E13" s="62">
        <v>16.52</v>
      </c>
      <c r="F13" s="62">
        <v>40.090000000000003</v>
      </c>
      <c r="G13" s="52">
        <f>41.31</f>
        <v>41.31</v>
      </c>
      <c r="H13" s="52">
        <v>5.45</v>
      </c>
      <c r="I13" s="52">
        <v>7.9</v>
      </c>
      <c r="J13" s="52">
        <v>1</v>
      </c>
      <c r="K13" s="62">
        <f t="shared" si="0"/>
        <v>0.94280000000000019</v>
      </c>
      <c r="L13" s="62">
        <v>8.9370000000000005E-3</v>
      </c>
      <c r="M13" s="62">
        <f t="shared" si="1"/>
        <v>0.99160000000000015</v>
      </c>
      <c r="N13" s="62">
        <f t="shared" si="2"/>
        <v>1.3625087224079745E-2</v>
      </c>
      <c r="P13" s="51" t="s">
        <v>63</v>
      </c>
      <c r="Q13" s="60">
        <f>(Y8^2)/Q11</f>
        <v>4.3754808454704881E-3</v>
      </c>
      <c r="R13" s="51">
        <v>4.4000000000000003E-3</v>
      </c>
      <c r="S13" s="51"/>
      <c r="T13" s="51"/>
      <c r="U13" s="51"/>
      <c r="V13" s="51"/>
      <c r="W13" s="51"/>
      <c r="X13" s="51"/>
      <c r="Y13" s="51"/>
    </row>
    <row r="14" spans="1:25" ht="15.75">
      <c r="A14" s="120"/>
      <c r="B14" s="120"/>
      <c r="C14" s="120"/>
      <c r="D14" s="62">
        <v>25</v>
      </c>
      <c r="E14" s="62">
        <v>16.52</v>
      </c>
      <c r="F14" s="62">
        <v>40.090000000000003</v>
      </c>
      <c r="G14" s="52">
        <f>41.31</f>
        <v>41.31</v>
      </c>
      <c r="H14" s="52">
        <v>5.45</v>
      </c>
      <c r="I14" s="52">
        <v>7.83</v>
      </c>
      <c r="J14" s="52">
        <v>2</v>
      </c>
      <c r="K14" s="62">
        <f t="shared" si="0"/>
        <v>0.94280000000000019</v>
      </c>
      <c r="L14" s="62">
        <v>8.9370000000000005E-3</v>
      </c>
      <c r="M14" s="62">
        <f t="shared" si="1"/>
        <v>0.99160000000000015</v>
      </c>
      <c r="N14" s="62">
        <f t="shared" si="2"/>
        <v>1.3504358603106887E-2</v>
      </c>
      <c r="P14" s="51" t="s">
        <v>13</v>
      </c>
      <c r="Q14" s="60">
        <f>((Q5)^2+(R5)^2+(S5)^2+(T5)^2+(U5)^2+(V5)^2+(W5)^2+(X5)^2+(Q6)^2+(R6)^2+(S6)^2+(T6)^2+(U6)^2+(V6)^2+(W6)^2+(X6)^2+(Q7)^2+(R7)^2+(S7)^2+(T7)^2+(U7)^2+(V7)^2+(W7)^2+(X7)^2)-Q13</f>
        <v>2.2731862172309294E-4</v>
      </c>
      <c r="R14" s="51">
        <v>2.0000000000000001E-4</v>
      </c>
      <c r="S14" s="51"/>
      <c r="T14" s="51"/>
      <c r="U14" s="51"/>
      <c r="V14" s="1"/>
      <c r="W14" s="51"/>
      <c r="X14" s="51"/>
      <c r="Y14" s="51"/>
    </row>
    <row r="15" spans="1:25" ht="15.75">
      <c r="A15" s="120"/>
      <c r="B15" s="120"/>
      <c r="C15" s="120"/>
      <c r="D15" s="62">
        <v>25</v>
      </c>
      <c r="E15" s="62">
        <v>16.52</v>
      </c>
      <c r="F15" s="62">
        <v>40.090000000000003</v>
      </c>
      <c r="G15" s="52">
        <f>41.31</f>
        <v>41.31</v>
      </c>
      <c r="H15" s="52">
        <v>5.45</v>
      </c>
      <c r="I15" s="52">
        <v>7.85</v>
      </c>
      <c r="J15" s="52">
        <v>3</v>
      </c>
      <c r="K15" s="62">
        <f t="shared" si="0"/>
        <v>0.94280000000000019</v>
      </c>
      <c r="L15" s="62">
        <v>8.9370000000000005E-3</v>
      </c>
      <c r="M15" s="62">
        <f t="shared" si="1"/>
        <v>0.99160000000000015</v>
      </c>
      <c r="N15" s="62">
        <f t="shared" si="2"/>
        <v>1.3538852494813418E-2</v>
      </c>
      <c r="P15" s="51" t="s">
        <v>15</v>
      </c>
      <c r="Q15" s="60">
        <v>2.1000000000000001E-4</v>
      </c>
      <c r="R15" s="51">
        <v>0</v>
      </c>
      <c r="S15" s="51"/>
      <c r="T15" s="51"/>
      <c r="U15" s="51"/>
      <c r="V15" s="51"/>
      <c r="W15" s="51"/>
      <c r="X15" s="51"/>
      <c r="Y15" s="51"/>
    </row>
    <row r="16" spans="1:25" ht="15.75">
      <c r="A16" s="120">
        <v>5</v>
      </c>
      <c r="B16" s="120" t="s">
        <v>3</v>
      </c>
      <c r="C16" s="120">
        <v>714</v>
      </c>
      <c r="D16" s="62">
        <v>25</v>
      </c>
      <c r="E16" s="62">
        <v>16.52</v>
      </c>
      <c r="F16" s="62">
        <v>40.090000000000003</v>
      </c>
      <c r="G16" s="52">
        <f>42.62</f>
        <v>42.62</v>
      </c>
      <c r="H16" s="52">
        <v>5.45</v>
      </c>
      <c r="I16" s="52">
        <v>11.38</v>
      </c>
      <c r="J16" s="52">
        <v>1</v>
      </c>
      <c r="K16" s="62">
        <f t="shared" si="0"/>
        <v>0.94280000000000019</v>
      </c>
      <c r="L16" s="62">
        <v>8.9370000000000005E-3</v>
      </c>
      <c r="M16" s="62">
        <f t="shared" si="1"/>
        <v>1.0439999999999998</v>
      </c>
      <c r="N16" s="62">
        <f t="shared" si="2"/>
        <v>2.0664192672227556E-2</v>
      </c>
      <c r="P16" s="51" t="s">
        <v>14</v>
      </c>
      <c r="Q16" s="60">
        <f>(((Q8)^2+(R8)^2+(S8)^2+(T8)^2+(U8)^2+(V8)^2+(W8)^2+(X8)^2)/U11)-Q13</f>
        <v>2.2726865437568914E-4</v>
      </c>
      <c r="R16" s="51">
        <v>2.0000000000000001E-4</v>
      </c>
      <c r="S16" s="51"/>
      <c r="T16" s="51"/>
      <c r="U16" s="51"/>
      <c r="V16" s="51"/>
      <c r="W16" s="51"/>
      <c r="X16" s="51"/>
      <c r="Y16" s="51"/>
    </row>
    <row r="17" spans="1:25" ht="15.75">
      <c r="A17" s="120"/>
      <c r="B17" s="120"/>
      <c r="C17" s="120"/>
      <c r="D17" s="62">
        <v>25</v>
      </c>
      <c r="E17" s="62">
        <v>16.52</v>
      </c>
      <c r="F17" s="62">
        <v>40.090000000000003</v>
      </c>
      <c r="G17" s="52">
        <f>42.63</f>
        <v>42.63</v>
      </c>
      <c r="H17" s="52">
        <v>5.45</v>
      </c>
      <c r="I17" s="52">
        <v>11.39</v>
      </c>
      <c r="J17" s="52">
        <v>2</v>
      </c>
      <c r="K17" s="62">
        <f t="shared" si="0"/>
        <v>0.94280000000000019</v>
      </c>
      <c r="L17" s="62">
        <v>8.9370000000000005E-3</v>
      </c>
      <c r="M17" s="62">
        <f t="shared" si="1"/>
        <v>1.0444000000000002</v>
      </c>
      <c r="N17" s="62">
        <f t="shared" si="2"/>
        <v>2.0690275286186374E-2</v>
      </c>
      <c r="P17" s="51" t="s">
        <v>18</v>
      </c>
      <c r="Q17" s="60">
        <f>(Q14-Q15-Q16)</f>
        <v>-2.0995003265259621E-4</v>
      </c>
      <c r="R17" s="51">
        <v>0</v>
      </c>
      <c r="S17" s="51"/>
      <c r="T17" s="51"/>
      <c r="U17" s="51"/>
      <c r="V17" s="51"/>
      <c r="W17" s="51"/>
      <c r="X17" s="51"/>
      <c r="Y17" s="51"/>
    </row>
    <row r="18" spans="1:25" ht="15.75">
      <c r="A18" s="120"/>
      <c r="B18" s="120"/>
      <c r="C18" s="120"/>
      <c r="D18" s="62">
        <v>25</v>
      </c>
      <c r="E18" s="62">
        <v>16.52</v>
      </c>
      <c r="F18" s="62">
        <v>40.090000000000003</v>
      </c>
      <c r="G18" s="52">
        <f>42.63</f>
        <v>42.63</v>
      </c>
      <c r="H18" s="52">
        <v>5.45</v>
      </c>
      <c r="I18" s="52">
        <v>11.43</v>
      </c>
      <c r="J18" s="52">
        <v>3</v>
      </c>
      <c r="K18" s="62">
        <f t="shared" si="0"/>
        <v>0.94280000000000019</v>
      </c>
      <c r="L18" s="62">
        <v>8.9370000000000005E-3</v>
      </c>
      <c r="M18" s="62">
        <f t="shared" si="1"/>
        <v>1.0444000000000002</v>
      </c>
      <c r="N18" s="62">
        <f t="shared" si="2"/>
        <v>2.0762936481221267E-2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5.75">
      <c r="A19" s="120">
        <v>6</v>
      </c>
      <c r="B19" s="120" t="s">
        <v>10</v>
      </c>
      <c r="C19" s="120">
        <v>745</v>
      </c>
      <c r="D19" s="62">
        <v>25</v>
      </c>
      <c r="E19" s="62">
        <v>16.52</v>
      </c>
      <c r="F19" s="62">
        <v>40.090000000000003</v>
      </c>
      <c r="G19" s="52">
        <f>40.82</f>
        <v>40.82</v>
      </c>
      <c r="H19" s="52">
        <v>5.45</v>
      </c>
      <c r="I19" s="52">
        <v>6.24</v>
      </c>
      <c r="J19" s="52">
        <v>1</v>
      </c>
      <c r="K19" s="62">
        <f t="shared" si="0"/>
        <v>0.94280000000000019</v>
      </c>
      <c r="L19" s="62">
        <v>8.9370000000000005E-3</v>
      </c>
      <c r="M19" s="62">
        <f t="shared" si="1"/>
        <v>0.97199999999999998</v>
      </c>
      <c r="N19" s="62">
        <f t="shared" si="2"/>
        <v>1.0549370284882429E-2</v>
      </c>
      <c r="P19" s="1" t="s">
        <v>19</v>
      </c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20"/>
      <c r="B20" s="120"/>
      <c r="C20" s="120"/>
      <c r="D20" s="62">
        <v>25</v>
      </c>
      <c r="E20" s="62">
        <v>16.52</v>
      </c>
      <c r="F20" s="62">
        <v>40.090000000000003</v>
      </c>
      <c r="G20" s="52">
        <f>40.82</f>
        <v>40.82</v>
      </c>
      <c r="H20" s="52">
        <v>5.45</v>
      </c>
      <c r="I20" s="52">
        <v>6.2</v>
      </c>
      <c r="J20" s="52">
        <v>2</v>
      </c>
      <c r="K20" s="62">
        <f t="shared" si="0"/>
        <v>0.94280000000000019</v>
      </c>
      <c r="L20" s="62">
        <v>8.9370000000000005E-3</v>
      </c>
      <c r="M20" s="62">
        <f t="shared" si="1"/>
        <v>0.97199999999999998</v>
      </c>
      <c r="N20" s="62">
        <f t="shared" si="2"/>
        <v>1.0481746116389593E-2</v>
      </c>
      <c r="P20" s="34" t="s">
        <v>20</v>
      </c>
      <c r="Q20" s="34" t="s">
        <v>21</v>
      </c>
      <c r="R20" s="34" t="s">
        <v>22</v>
      </c>
      <c r="S20" s="35" t="s">
        <v>22</v>
      </c>
      <c r="T20" s="34" t="s">
        <v>23</v>
      </c>
      <c r="U20" s="36" t="s">
        <v>24</v>
      </c>
      <c r="V20" s="37" t="s">
        <v>25</v>
      </c>
      <c r="W20" s="55"/>
      <c r="X20" s="1"/>
      <c r="Y20" s="1"/>
    </row>
    <row r="21" spans="1:25" ht="15.75">
      <c r="A21" s="120"/>
      <c r="B21" s="120"/>
      <c r="C21" s="120"/>
      <c r="D21" s="62">
        <v>25</v>
      </c>
      <c r="E21" s="62">
        <v>16.52</v>
      </c>
      <c r="F21" s="62">
        <v>40.090000000000003</v>
      </c>
      <c r="G21" s="52">
        <f>40.82</f>
        <v>40.82</v>
      </c>
      <c r="H21" s="52">
        <v>5.45</v>
      </c>
      <c r="I21" s="52">
        <v>6.15</v>
      </c>
      <c r="J21" s="52">
        <v>3</v>
      </c>
      <c r="K21" s="62">
        <f t="shared" si="0"/>
        <v>0.94280000000000019</v>
      </c>
      <c r="L21" s="62">
        <v>8.9370000000000005E-3</v>
      </c>
      <c r="M21" s="62">
        <f t="shared" si="1"/>
        <v>0.97199999999999998</v>
      </c>
      <c r="N21" s="62">
        <f t="shared" si="2"/>
        <v>1.0397215905773548E-2</v>
      </c>
      <c r="P21" s="38" t="s">
        <v>0</v>
      </c>
      <c r="Q21" s="39">
        <f>U11-1</f>
        <v>2</v>
      </c>
      <c r="R21" s="63">
        <f>R15</f>
        <v>0</v>
      </c>
      <c r="S21" s="63">
        <f>R21/Q21</f>
        <v>0</v>
      </c>
      <c r="T21" s="63">
        <v>0</v>
      </c>
      <c r="U21" s="56">
        <v>3.47</v>
      </c>
      <c r="V21" s="41" t="s">
        <v>64</v>
      </c>
      <c r="W21" s="1"/>
      <c r="X21" s="1"/>
      <c r="Y21" s="1"/>
    </row>
    <row r="22" spans="1:25" ht="15.75">
      <c r="A22" s="120">
        <v>7</v>
      </c>
      <c r="B22" s="120" t="s">
        <v>4</v>
      </c>
      <c r="C22" s="120">
        <v>794</v>
      </c>
      <c r="D22" s="62">
        <v>25</v>
      </c>
      <c r="E22" s="62">
        <v>16.52</v>
      </c>
      <c r="F22" s="62">
        <v>40.090000000000003</v>
      </c>
      <c r="G22" s="52">
        <f>42.02</f>
        <v>42.02</v>
      </c>
      <c r="H22" s="52">
        <v>5.45</v>
      </c>
      <c r="I22" s="52">
        <v>8.2899999999999991</v>
      </c>
      <c r="J22" s="52">
        <v>1</v>
      </c>
      <c r="K22" s="62">
        <f t="shared" si="0"/>
        <v>0.94280000000000019</v>
      </c>
      <c r="L22" s="62">
        <v>8.9370000000000005E-3</v>
      </c>
      <c r="M22" s="62">
        <f t="shared" si="1"/>
        <v>1.0200000000000002</v>
      </c>
      <c r="N22" s="62">
        <f t="shared" si="2"/>
        <v>1.4707213064344738E-2</v>
      </c>
      <c r="P22" s="38" t="s">
        <v>1</v>
      </c>
      <c r="Q22" s="39">
        <f>S11-1</f>
        <v>7</v>
      </c>
      <c r="R22" s="63">
        <f>R16</f>
        <v>2.0000000000000001E-4</v>
      </c>
      <c r="S22" s="63">
        <v>2.9E-5</v>
      </c>
      <c r="T22" s="63">
        <v>0</v>
      </c>
      <c r="U22" s="56">
        <v>2.76</v>
      </c>
      <c r="V22" s="41" t="s">
        <v>65</v>
      </c>
      <c r="W22" s="1"/>
      <c r="X22" s="1"/>
      <c r="Y22" s="1"/>
    </row>
    <row r="23" spans="1:25" ht="15.75">
      <c r="A23" s="120"/>
      <c r="B23" s="120"/>
      <c r="C23" s="120"/>
      <c r="D23" s="62">
        <v>25</v>
      </c>
      <c r="E23" s="62">
        <v>16.52</v>
      </c>
      <c r="F23" s="62">
        <v>40.090000000000003</v>
      </c>
      <c r="G23" s="52">
        <f>42.02</f>
        <v>42.02</v>
      </c>
      <c r="H23" s="52">
        <v>5.45</v>
      </c>
      <c r="I23" s="52">
        <v>8.2799999999999994</v>
      </c>
      <c r="J23" s="52">
        <v>2</v>
      </c>
      <c r="K23" s="62">
        <f t="shared" si="0"/>
        <v>0.94280000000000019</v>
      </c>
      <c r="L23" s="62">
        <v>8.9370000000000005E-3</v>
      </c>
      <c r="M23" s="62">
        <f t="shared" si="1"/>
        <v>1.0200000000000002</v>
      </c>
      <c r="N23" s="62">
        <f t="shared" si="2"/>
        <v>1.4689472155943838E-2</v>
      </c>
      <c r="P23" s="38" t="s">
        <v>26</v>
      </c>
      <c r="Q23" s="39">
        <f>Q21*Q22</f>
        <v>14</v>
      </c>
      <c r="R23" s="63">
        <f>R17</f>
        <v>0</v>
      </c>
      <c r="S23" s="63">
        <f>R23/Q23</f>
        <v>0</v>
      </c>
      <c r="T23" s="64"/>
      <c r="U23" s="55"/>
      <c r="V23" s="1"/>
      <c r="W23" s="1"/>
      <c r="X23" s="1"/>
      <c r="Y23" s="1"/>
    </row>
    <row r="24" spans="1:25" ht="15.75">
      <c r="A24" s="120"/>
      <c r="B24" s="120"/>
      <c r="C24" s="120"/>
      <c r="D24" s="62">
        <v>25</v>
      </c>
      <c r="E24" s="62">
        <v>16.52</v>
      </c>
      <c r="F24" s="62">
        <v>40.090000000000003</v>
      </c>
      <c r="G24" s="52">
        <f>42.03</f>
        <v>42.03</v>
      </c>
      <c r="H24" s="52">
        <v>5.45</v>
      </c>
      <c r="I24" s="52">
        <v>8.31</v>
      </c>
      <c r="J24" s="52">
        <v>3</v>
      </c>
      <c r="K24" s="62">
        <f t="shared" si="0"/>
        <v>0.94280000000000019</v>
      </c>
      <c r="L24" s="62">
        <v>8.9370000000000005E-3</v>
      </c>
      <c r="M24" s="62">
        <f t="shared" si="1"/>
        <v>1.0204</v>
      </c>
      <c r="N24" s="62">
        <f t="shared" si="2"/>
        <v>1.4748476330119531E-2</v>
      </c>
      <c r="P24" s="38" t="s">
        <v>27</v>
      </c>
      <c r="Q24" s="39">
        <f>SUM(Q21:Q23)</f>
        <v>23</v>
      </c>
      <c r="R24" s="63">
        <f>R14</f>
        <v>2.0000000000000001E-4</v>
      </c>
      <c r="S24" s="65"/>
      <c r="T24" s="64"/>
      <c r="U24" s="1"/>
      <c r="V24" s="1"/>
      <c r="W24" s="1"/>
      <c r="X24" s="1"/>
      <c r="Y24" s="1"/>
    </row>
    <row r="25" spans="1:25" ht="15.75">
      <c r="A25" s="120">
        <v>8</v>
      </c>
      <c r="B25" s="120" t="s">
        <v>7</v>
      </c>
      <c r="C25" s="120">
        <v>855</v>
      </c>
      <c r="D25" s="62">
        <v>25</v>
      </c>
      <c r="E25" s="62">
        <v>16.52</v>
      </c>
      <c r="F25" s="62">
        <v>40.090000000000003</v>
      </c>
      <c r="G25" s="52">
        <f>41.13</f>
        <v>41.13</v>
      </c>
      <c r="H25" s="52">
        <v>5.45</v>
      </c>
      <c r="I25" s="52">
        <v>7.33</v>
      </c>
      <c r="J25" s="52">
        <v>1</v>
      </c>
      <c r="K25" s="62">
        <f t="shared" si="0"/>
        <v>0.94280000000000019</v>
      </c>
      <c r="L25" s="62">
        <v>8.9370000000000005E-3</v>
      </c>
      <c r="M25" s="62">
        <f t="shared" si="1"/>
        <v>0.98440000000000016</v>
      </c>
      <c r="N25" s="62">
        <f t="shared" si="2"/>
        <v>1.255021776321167E-2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.75">
      <c r="A26" s="120"/>
      <c r="B26" s="120"/>
      <c r="C26" s="120"/>
      <c r="D26" s="62">
        <v>25</v>
      </c>
      <c r="E26" s="62">
        <v>16.52</v>
      </c>
      <c r="F26" s="62">
        <v>40.090000000000003</v>
      </c>
      <c r="G26" s="52">
        <f>41.14</f>
        <v>41.14</v>
      </c>
      <c r="H26" s="52">
        <v>5.45</v>
      </c>
      <c r="I26" s="52">
        <v>7.31</v>
      </c>
      <c r="J26" s="52">
        <v>2</v>
      </c>
      <c r="K26" s="62">
        <f t="shared" si="0"/>
        <v>0.94280000000000019</v>
      </c>
      <c r="L26" s="62">
        <v>8.9370000000000005E-3</v>
      </c>
      <c r="M26" s="62">
        <f t="shared" si="1"/>
        <v>0.98480000000000001</v>
      </c>
      <c r="N26" s="62">
        <f t="shared" si="2"/>
        <v>1.2521060058463367E-2</v>
      </c>
      <c r="P26" s="42" t="s">
        <v>29</v>
      </c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75">
      <c r="A27" s="120"/>
      <c r="B27" s="120"/>
      <c r="C27" s="120"/>
      <c r="D27" s="62">
        <v>25</v>
      </c>
      <c r="E27" s="62">
        <v>16.52</v>
      </c>
      <c r="F27" s="62">
        <v>40.090000000000003</v>
      </c>
      <c r="G27" s="52">
        <f>41.13</f>
        <v>41.13</v>
      </c>
      <c r="H27" s="52">
        <v>5.45</v>
      </c>
      <c r="I27" s="52">
        <v>7.37</v>
      </c>
      <c r="J27" s="52">
        <v>3</v>
      </c>
      <c r="K27" s="62">
        <f t="shared" si="0"/>
        <v>0.94280000000000019</v>
      </c>
      <c r="L27" s="62">
        <v>8.9370000000000005E-3</v>
      </c>
      <c r="M27" s="62">
        <f t="shared" si="1"/>
        <v>0.98440000000000016</v>
      </c>
      <c r="N27" s="62">
        <f t="shared" si="2"/>
        <v>1.2618704626858119E-2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</row>
  </sheetData>
  <mergeCells count="28">
    <mergeCell ref="P3:P4"/>
    <mergeCell ref="Q3:X3"/>
    <mergeCell ref="Y3:Y4"/>
    <mergeCell ref="A22:A24"/>
    <mergeCell ref="B22:B24"/>
    <mergeCell ref="C22:C24"/>
    <mergeCell ref="A10:A12"/>
    <mergeCell ref="B10:B12"/>
    <mergeCell ref="C10:C12"/>
    <mergeCell ref="A13:A15"/>
    <mergeCell ref="B13:B15"/>
    <mergeCell ref="C13:C15"/>
    <mergeCell ref="A4:A6"/>
    <mergeCell ref="B4:B6"/>
    <mergeCell ref="C4:C6"/>
    <mergeCell ref="A7:A9"/>
    <mergeCell ref="B7:B9"/>
    <mergeCell ref="C7:C9"/>
    <mergeCell ref="A2:N2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3"/>
  <sheetViews>
    <sheetView topLeftCell="A28" workbookViewId="0">
      <selection activeCell="A14" sqref="A1:XFD14"/>
    </sheetView>
  </sheetViews>
  <sheetFormatPr defaultRowHeight="15"/>
  <cols>
    <col min="1" max="1" width="11.5703125" customWidth="1"/>
    <col min="2" max="2" width="14.140625" customWidth="1"/>
    <col min="3" max="3" width="18.28515625" customWidth="1"/>
    <col min="4" max="4" width="18.5703125" customWidth="1"/>
  </cols>
  <sheetData>
    <row r="2" spans="1:17" ht="15.75">
      <c r="A2" s="104" t="s">
        <v>0</v>
      </c>
      <c r="B2" s="106" t="s">
        <v>1</v>
      </c>
      <c r="C2" s="107"/>
      <c r="D2" s="107"/>
      <c r="E2" s="107"/>
      <c r="F2" s="107"/>
      <c r="G2" s="107"/>
      <c r="H2" s="107"/>
      <c r="I2" s="108"/>
      <c r="J2" s="109" t="s">
        <v>2</v>
      </c>
    </row>
    <row r="3" spans="1:17" ht="15.75">
      <c r="A3" s="105"/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3" t="s">
        <v>9</v>
      </c>
      <c r="I3" s="53" t="s">
        <v>10</v>
      </c>
      <c r="J3" s="110"/>
    </row>
    <row r="4" spans="1:17" ht="15.75">
      <c r="A4" s="53">
        <v>1</v>
      </c>
      <c r="B4" s="68">
        <f>viskositas!N16</f>
        <v>2.0664192672227556E-2</v>
      </c>
      <c r="C4" s="68">
        <f>viskositas!N22</f>
        <v>1.4707213064344738E-2</v>
      </c>
      <c r="D4" s="68">
        <f>viskositas!N7</f>
        <v>1.4005723631735252E-2</v>
      </c>
      <c r="E4" s="68">
        <f>viskositas!N13</f>
        <v>1.3625087224079745E-2</v>
      </c>
      <c r="F4" s="68">
        <f>viskositas!N25</f>
        <v>1.255021776321167E-2</v>
      </c>
      <c r="G4" s="68">
        <f>viskositas!N4</f>
        <v>1.1052238072810637E-2</v>
      </c>
      <c r="H4" s="68">
        <f>viskositas!N10</f>
        <v>1.0940296419410458E-2</v>
      </c>
      <c r="I4" s="68">
        <f>viskositas!N19</f>
        <v>1.0549370284882429E-2</v>
      </c>
      <c r="J4" s="68">
        <f>SUM(B4:I4)</f>
        <v>0.10809433913270249</v>
      </c>
      <c r="L4" s="51" t="s">
        <v>60</v>
      </c>
      <c r="M4" s="54">
        <v>24</v>
      </c>
      <c r="N4" s="51" t="s">
        <v>61</v>
      </c>
      <c r="O4" s="54">
        <v>8</v>
      </c>
      <c r="P4" s="51" t="s">
        <v>62</v>
      </c>
      <c r="Q4" s="54">
        <v>3</v>
      </c>
    </row>
    <row r="5" spans="1:17" ht="15.75">
      <c r="A5" s="53">
        <v>2</v>
      </c>
      <c r="B5" s="68">
        <f>viskositas!N17</f>
        <v>2.0690275286186374E-2</v>
      </c>
      <c r="C5" s="68">
        <f>viskositas!N23</f>
        <v>1.4689472155943838E-2</v>
      </c>
      <c r="D5" s="68">
        <f>viskositas!N8</f>
        <v>1.3935956639796349E-2</v>
      </c>
      <c r="E5" s="68">
        <f>viskositas!N14</f>
        <v>1.3504358603106887E-2</v>
      </c>
      <c r="F5" s="68">
        <f>viskositas!N26</f>
        <v>1.2521060058463367E-2</v>
      </c>
      <c r="G5" s="68">
        <f>viskositas!N5</f>
        <v>1.1069241515999575E-2</v>
      </c>
      <c r="H5" s="68">
        <f>viskositas!N11</f>
        <v>1.1025104918785734E-2</v>
      </c>
      <c r="I5" s="68">
        <f>viskositas!N20</f>
        <v>1.0481746116389593E-2</v>
      </c>
      <c r="J5" s="68">
        <f t="shared" ref="J5:J6" si="0">SUM(B5:I5)</f>
        <v>0.1079172152946717</v>
      </c>
    </row>
    <row r="6" spans="1:17" ht="15.75">
      <c r="A6" s="53">
        <v>3</v>
      </c>
      <c r="B6" s="68">
        <f>viskositas!N18</f>
        <v>2.0762936481221267E-2</v>
      </c>
      <c r="C6" s="68">
        <f>viskositas!N24</f>
        <v>1.4748476330119531E-2</v>
      </c>
      <c r="D6" s="68">
        <f>viskositas!N9</f>
        <v>1.3848747899872718E-2</v>
      </c>
      <c r="E6" s="68">
        <f>viskositas!N15</f>
        <v>1.3538852494813418E-2</v>
      </c>
      <c r="F6" s="68">
        <f>viskositas!N27</f>
        <v>1.2618704626858119E-2</v>
      </c>
      <c r="G6" s="68">
        <f>viskositas!N6</f>
        <v>1.1103248402377456E-2</v>
      </c>
      <c r="H6" s="68">
        <f>viskositas!N12</f>
        <v>1.1025104918785734E-2</v>
      </c>
      <c r="I6" s="68">
        <f>viskositas!N21</f>
        <v>1.0397215905773548E-2</v>
      </c>
      <c r="J6" s="68">
        <f t="shared" si="0"/>
        <v>0.1080432870598218</v>
      </c>
    </row>
    <row r="7" spans="1:17" ht="15.75">
      <c r="A7" s="53" t="s">
        <v>2</v>
      </c>
      <c r="B7" s="68">
        <f>SUM(B4:B6)</f>
        <v>6.2117404439635197E-2</v>
      </c>
      <c r="C7" s="68">
        <f t="shared" ref="C7:J7" si="1">SUM(C4:C6)</f>
        <v>4.414516155040811E-2</v>
      </c>
      <c r="D7" s="68">
        <f t="shared" si="1"/>
        <v>4.1790428171404319E-2</v>
      </c>
      <c r="E7" s="68">
        <f t="shared" si="1"/>
        <v>4.066829832200005E-2</v>
      </c>
      <c r="F7" s="68">
        <f t="shared" si="1"/>
        <v>3.7689982448533152E-2</v>
      </c>
      <c r="G7" s="68">
        <f t="shared" si="1"/>
        <v>3.3224727991187669E-2</v>
      </c>
      <c r="H7" s="68">
        <f t="shared" si="1"/>
        <v>3.2990506256981925E-2</v>
      </c>
      <c r="I7" s="68">
        <f t="shared" si="1"/>
        <v>3.1428332307045573E-2</v>
      </c>
      <c r="J7" s="68">
        <f t="shared" si="1"/>
        <v>0.32405484148719599</v>
      </c>
    </row>
    <row r="8" spans="1:17" ht="15.75">
      <c r="A8" s="53" t="s">
        <v>11</v>
      </c>
      <c r="B8" s="68">
        <f>AVERAGE(B4:B6)</f>
        <v>2.07058014798784E-2</v>
      </c>
      <c r="C8" s="68">
        <f t="shared" ref="C8:J8" si="2">AVERAGE(C4:C6)</f>
        <v>1.4715053850136037E-2</v>
      </c>
      <c r="D8" s="68">
        <f t="shared" si="2"/>
        <v>1.393014272380144E-2</v>
      </c>
      <c r="E8" s="68">
        <f t="shared" si="2"/>
        <v>1.3556099440666684E-2</v>
      </c>
      <c r="F8" s="68">
        <f t="shared" si="2"/>
        <v>1.2563327482844383E-2</v>
      </c>
      <c r="G8" s="68">
        <f t="shared" si="2"/>
        <v>1.107490933039589E-2</v>
      </c>
      <c r="H8" s="68">
        <f t="shared" si="2"/>
        <v>1.0996835418993975E-2</v>
      </c>
      <c r="I8" s="68">
        <f t="shared" si="2"/>
        <v>1.047611076901519E-2</v>
      </c>
      <c r="J8" s="68">
        <f t="shared" si="2"/>
        <v>0.10801828049573199</v>
      </c>
    </row>
    <row r="11" spans="1:17" ht="15.75">
      <c r="A11" s="51" t="s">
        <v>63</v>
      </c>
      <c r="B11" s="70">
        <f>(J7^2)/M4</f>
        <v>4.3754808454704881E-3</v>
      </c>
    </row>
    <row r="12" spans="1:17" ht="15.75">
      <c r="A12" s="51" t="s">
        <v>13</v>
      </c>
      <c r="B12" s="70">
        <f>((B6)^2+(C6)^2+(D6)^2+(E6)^2+(F6)^2+(G6)^2+(H6)^2+(I6)^2+(B4)^2+(C4)^2+(D4)^2+(E4)^2+(F4)^2+(G4)^2+(H4)^2+(I4)^2+(B5)^2+(C5)^2+(D5)^2+(E5)^2+(F5)^2+(G5)^2+(H5)^2+(I5)^2)-B11</f>
        <v>2.2731862172309294E-4</v>
      </c>
    </row>
    <row r="13" spans="1:17" ht="15.75">
      <c r="A13" s="51" t="s">
        <v>15</v>
      </c>
      <c r="B13" s="70">
        <f>(((J6)^2+(J4)^2+(J5)^2)/O4)-B11</f>
        <v>2.078052421111698E-9</v>
      </c>
    </row>
    <row r="14" spans="1:17" ht="15.75">
      <c r="A14" s="51" t="s">
        <v>14</v>
      </c>
      <c r="B14" s="70">
        <f>(((B7)^2+(C7)^2+(D7)^2+(E7)^2+(F7)^2+(G7)^2+(H7)^2+(I7)^2)/Q4)-B11</f>
        <v>2.2726865437568914E-4</v>
      </c>
    </row>
    <row r="15" spans="1:17" ht="15.75">
      <c r="A15" s="51" t="s">
        <v>18</v>
      </c>
      <c r="B15" s="70">
        <f>(B12-B13-B14)</f>
        <v>4.7889294982686459E-8</v>
      </c>
    </row>
    <row r="17" spans="1:20" ht="20.25" customHeight="1">
      <c r="A17" s="34" t="s">
        <v>20</v>
      </c>
      <c r="B17" s="34" t="s">
        <v>21</v>
      </c>
      <c r="C17" s="34" t="s">
        <v>22</v>
      </c>
      <c r="D17" s="35" t="s">
        <v>22</v>
      </c>
      <c r="E17" s="34" t="s">
        <v>23</v>
      </c>
      <c r="F17" s="36" t="s">
        <v>24</v>
      </c>
      <c r="G17" s="37" t="s">
        <v>25</v>
      </c>
    </row>
    <row r="18" spans="1:20" ht="15.75">
      <c r="A18" s="38" t="s">
        <v>0</v>
      </c>
      <c r="B18" s="39">
        <f>Q4-1</f>
        <v>2</v>
      </c>
      <c r="C18" s="79">
        <f>B13</f>
        <v>2.078052421111698E-9</v>
      </c>
      <c r="D18" s="71">
        <f>C18/B18</f>
        <v>1.039026210555849E-9</v>
      </c>
      <c r="E18" s="40">
        <f>D18/D20</f>
        <v>0.30374986629143053</v>
      </c>
      <c r="F18" s="56">
        <v>3.47</v>
      </c>
      <c r="G18" s="41" t="s">
        <v>64</v>
      </c>
    </row>
    <row r="19" spans="1:20" ht="15.75">
      <c r="A19" s="38" t="s">
        <v>1</v>
      </c>
      <c r="B19" s="39">
        <f>O4-1</f>
        <v>7</v>
      </c>
      <c r="C19" s="79">
        <f>B14</f>
        <v>2.2726865437568914E-4</v>
      </c>
      <c r="D19" s="71">
        <f>C19/B19</f>
        <v>3.2466950625098446E-5</v>
      </c>
      <c r="E19" s="56">
        <f>D19/D20</f>
        <v>9491.417840160484</v>
      </c>
      <c r="F19" s="56">
        <v>2.76</v>
      </c>
      <c r="G19" s="41" t="s">
        <v>65</v>
      </c>
    </row>
    <row r="20" spans="1:20" ht="15.75">
      <c r="A20" s="38" t="s">
        <v>26</v>
      </c>
      <c r="B20" s="39">
        <f>B18*B19</f>
        <v>14</v>
      </c>
      <c r="C20" s="79">
        <f>B15</f>
        <v>4.7889294982686459E-8</v>
      </c>
      <c r="D20" s="71">
        <f>C20/B20</f>
        <v>3.4206639273347471E-9</v>
      </c>
      <c r="E20" s="55"/>
      <c r="F20" s="55"/>
      <c r="G20" s="1"/>
    </row>
    <row r="21" spans="1:20" ht="15.75">
      <c r="A21" s="38" t="s">
        <v>27</v>
      </c>
      <c r="B21" s="39">
        <f>SUM(B18:B20)</f>
        <v>23</v>
      </c>
      <c r="C21" s="79">
        <f>B12</f>
        <v>2.2731862172309294E-4</v>
      </c>
      <c r="D21" s="21"/>
      <c r="E21" s="55"/>
      <c r="F21" s="1"/>
      <c r="G21" s="1"/>
    </row>
    <row r="22" spans="1:20" ht="15.75">
      <c r="A22" s="51"/>
      <c r="B22" s="51"/>
      <c r="C22" s="51"/>
      <c r="D22" s="51"/>
      <c r="E22" s="51"/>
      <c r="F22" s="51"/>
      <c r="G22" s="51"/>
    </row>
    <row r="23" spans="1:20" ht="15.75">
      <c r="A23" s="42" t="s">
        <v>29</v>
      </c>
      <c r="B23" s="69">
        <f>(D20/Q4)^0.5</f>
        <v>3.3767163178324332E-5</v>
      </c>
      <c r="C23" s="51"/>
      <c r="D23" s="51"/>
      <c r="E23" s="51"/>
      <c r="F23" s="51"/>
      <c r="G23" s="51"/>
    </row>
    <row r="25" spans="1:20" ht="15.75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1"/>
      <c r="O25" s="51"/>
      <c r="P25" s="51"/>
      <c r="Q25" s="51"/>
      <c r="R25" s="51"/>
      <c r="S25" s="51"/>
      <c r="T25" s="51"/>
    </row>
    <row r="26" spans="1:20" ht="15.75">
      <c r="A26" s="111" t="s">
        <v>31</v>
      </c>
      <c r="B26" s="111" t="s">
        <v>32</v>
      </c>
      <c r="C26" s="111" t="s">
        <v>33</v>
      </c>
      <c r="D26" s="111" t="s">
        <v>11</v>
      </c>
      <c r="E26" s="113" t="s">
        <v>1</v>
      </c>
      <c r="F26" s="113"/>
      <c r="G26" s="113"/>
      <c r="H26" s="113"/>
      <c r="I26" s="113"/>
      <c r="J26" s="113"/>
      <c r="K26" s="113"/>
      <c r="L26" s="125"/>
      <c r="M26" s="126"/>
      <c r="N26" s="126"/>
      <c r="O26" s="126"/>
      <c r="P26" s="126"/>
      <c r="Q26" s="126"/>
      <c r="R26" s="126"/>
      <c r="S26" s="126"/>
      <c r="T26" s="116" t="s">
        <v>66</v>
      </c>
    </row>
    <row r="27" spans="1:20" ht="15.75">
      <c r="A27" s="111"/>
      <c r="B27" s="127"/>
      <c r="C27" s="111"/>
      <c r="D27" s="111"/>
      <c r="E27" s="66">
        <v>1</v>
      </c>
      <c r="F27" s="66"/>
      <c r="G27" s="66">
        <v>2</v>
      </c>
      <c r="H27" s="66"/>
      <c r="I27" s="66">
        <v>3</v>
      </c>
      <c r="J27" s="66"/>
      <c r="K27" s="66">
        <v>4</v>
      </c>
      <c r="L27" s="66"/>
      <c r="M27" s="66">
        <v>5</v>
      </c>
      <c r="N27" s="66"/>
      <c r="O27" s="66">
        <v>6</v>
      </c>
      <c r="P27" s="66"/>
      <c r="Q27" s="66">
        <v>7</v>
      </c>
      <c r="R27" s="66"/>
      <c r="S27" s="66">
        <v>8</v>
      </c>
      <c r="T27" s="117"/>
    </row>
    <row r="28" spans="1:20" ht="15.75">
      <c r="A28" s="43" t="s">
        <v>34</v>
      </c>
      <c r="B28" s="44" t="s">
        <v>34</v>
      </c>
      <c r="C28" s="45" t="s">
        <v>10</v>
      </c>
      <c r="D28" s="73">
        <f>I8</f>
        <v>1.047611076901519E-2</v>
      </c>
      <c r="E28" s="43" t="s">
        <v>34</v>
      </c>
      <c r="F28" s="43"/>
      <c r="G28" s="43"/>
      <c r="H28" s="43"/>
      <c r="I28" s="43"/>
      <c r="J28" s="43"/>
      <c r="K28" s="43"/>
      <c r="L28" s="43"/>
      <c r="M28" s="43"/>
      <c r="N28" s="43"/>
      <c r="O28" s="45"/>
      <c r="P28" s="45"/>
      <c r="Q28" s="45"/>
      <c r="R28" s="45"/>
      <c r="S28" s="45"/>
      <c r="T28" s="45" t="s">
        <v>35</v>
      </c>
    </row>
    <row r="29" spans="1:20" ht="15.75">
      <c r="A29" s="43">
        <v>3.03</v>
      </c>
      <c r="B29" s="72">
        <f>B23*A29</f>
        <v>1.0231450443032272E-4</v>
      </c>
      <c r="C29" s="45" t="s">
        <v>9</v>
      </c>
      <c r="D29" s="73">
        <f>H8</f>
        <v>1.0996835418993975E-2</v>
      </c>
      <c r="E29" s="75">
        <f>(D29-D28)</f>
        <v>5.2072464997878452E-4</v>
      </c>
      <c r="F29" s="75" t="s">
        <v>68</v>
      </c>
      <c r="G29" s="76" t="s">
        <v>34</v>
      </c>
      <c r="H29" s="76"/>
      <c r="I29" s="76"/>
      <c r="J29" s="76"/>
      <c r="K29" s="76"/>
      <c r="L29" s="76"/>
      <c r="M29" s="76"/>
      <c r="N29" s="76"/>
      <c r="O29" s="77"/>
      <c r="P29" s="77"/>
      <c r="Q29" s="77"/>
      <c r="R29" s="45"/>
      <c r="S29" s="45"/>
      <c r="T29" s="45" t="s">
        <v>36</v>
      </c>
    </row>
    <row r="30" spans="1:20" ht="15.75">
      <c r="A30" s="43">
        <v>3.18</v>
      </c>
      <c r="B30" s="72">
        <f>B23*A30</f>
        <v>1.0737957890707139E-4</v>
      </c>
      <c r="C30" s="45" t="s">
        <v>8</v>
      </c>
      <c r="D30" s="73">
        <f>G8</f>
        <v>1.107490933039589E-2</v>
      </c>
      <c r="E30" s="75">
        <f>(D30-D28)</f>
        <v>5.9879856138069995E-4</v>
      </c>
      <c r="F30" s="75" t="s">
        <v>67</v>
      </c>
      <c r="G30" s="75">
        <f>(D30-D29)</f>
        <v>7.8073911401915427E-5</v>
      </c>
      <c r="H30" s="75" t="s">
        <v>67</v>
      </c>
      <c r="I30" s="76" t="s">
        <v>34</v>
      </c>
      <c r="J30" s="76"/>
      <c r="K30" s="76"/>
      <c r="L30" s="76"/>
      <c r="M30" s="76"/>
      <c r="N30" s="76"/>
      <c r="O30" s="77"/>
      <c r="P30" s="77"/>
      <c r="Q30" s="77"/>
      <c r="R30" s="45"/>
      <c r="S30" s="45"/>
      <c r="T30" s="45" t="s">
        <v>36</v>
      </c>
    </row>
    <row r="31" spans="1:20" ht="15.75">
      <c r="A31" s="43">
        <v>3.27</v>
      </c>
      <c r="B31" s="72">
        <f>B23*A31</f>
        <v>1.1041862359312057E-4</v>
      </c>
      <c r="C31" s="45" t="s">
        <v>7</v>
      </c>
      <c r="D31" s="73">
        <f>F8</f>
        <v>1.2563327482844383E-2</v>
      </c>
      <c r="E31" s="75">
        <f>(D31-D28)</f>
        <v>2.087216713829193E-3</v>
      </c>
      <c r="F31" s="75" t="s">
        <v>68</v>
      </c>
      <c r="G31" s="75">
        <f>(D31-D29)</f>
        <v>1.5664920638504085E-3</v>
      </c>
      <c r="H31" s="75" t="s">
        <v>68</v>
      </c>
      <c r="I31" s="75">
        <f>(D31-D30)</f>
        <v>1.4884181524484931E-3</v>
      </c>
      <c r="J31" s="75" t="s">
        <v>68</v>
      </c>
      <c r="K31" s="76" t="s">
        <v>34</v>
      </c>
      <c r="L31" s="76"/>
      <c r="M31" s="76"/>
      <c r="N31" s="76"/>
      <c r="O31" s="77"/>
      <c r="P31" s="77"/>
      <c r="Q31" s="77"/>
      <c r="R31" s="45"/>
      <c r="S31" s="45"/>
      <c r="T31" s="45" t="s">
        <v>37</v>
      </c>
    </row>
    <row r="32" spans="1:20" ht="15.75">
      <c r="A32" s="43">
        <v>3.33</v>
      </c>
      <c r="B32" s="72">
        <f>B23*A32</f>
        <v>1.1244465338382003E-4</v>
      </c>
      <c r="C32" s="45" t="s">
        <v>6</v>
      </c>
      <c r="D32" s="74">
        <f>E8</f>
        <v>1.3556099440666684E-2</v>
      </c>
      <c r="E32" s="78">
        <f>(D32-D28)</f>
        <v>3.0799886716514936E-3</v>
      </c>
      <c r="F32" s="78" t="s">
        <v>68</v>
      </c>
      <c r="G32" s="75">
        <f>(D32-D29)</f>
        <v>2.5592640216727091E-3</v>
      </c>
      <c r="H32" s="75" t="s">
        <v>68</v>
      </c>
      <c r="I32" s="75">
        <f>(D32-D30)</f>
        <v>2.4811901102707937E-3</v>
      </c>
      <c r="J32" s="75" t="s">
        <v>68</v>
      </c>
      <c r="K32" s="78">
        <f>(D32-D31)</f>
        <v>9.9277195782230057E-4</v>
      </c>
      <c r="L32" s="78" t="s">
        <v>68</v>
      </c>
      <c r="M32" s="77" t="s">
        <v>34</v>
      </c>
      <c r="N32" s="77"/>
      <c r="O32" s="77"/>
      <c r="P32" s="77"/>
      <c r="Q32" s="77"/>
      <c r="R32" s="45"/>
      <c r="S32" s="45"/>
      <c r="T32" s="45" t="s">
        <v>38</v>
      </c>
    </row>
    <row r="33" spans="1:20" ht="15.75">
      <c r="A33" s="43">
        <v>3.37</v>
      </c>
      <c r="B33" s="72">
        <f>B23*A33</f>
        <v>1.13795339910953E-4</v>
      </c>
      <c r="C33" s="45" t="s">
        <v>5</v>
      </c>
      <c r="D33" s="74">
        <f>D8</f>
        <v>1.393014272380144E-2</v>
      </c>
      <c r="E33" s="78">
        <f>(D33-D28)</f>
        <v>3.4540319547862498E-3</v>
      </c>
      <c r="F33" s="78" t="s">
        <v>68</v>
      </c>
      <c r="G33" s="75">
        <f>(D33-D29)</f>
        <v>2.9333073048074653E-3</v>
      </c>
      <c r="H33" s="75" t="s">
        <v>68</v>
      </c>
      <c r="I33" s="75">
        <f>(D33-D30)</f>
        <v>2.8552333934055499E-3</v>
      </c>
      <c r="J33" s="75" t="s">
        <v>68</v>
      </c>
      <c r="K33" s="78">
        <f>(D33-D31)</f>
        <v>1.3668152409570568E-3</v>
      </c>
      <c r="L33" s="78" t="s">
        <v>68</v>
      </c>
      <c r="M33" s="78">
        <f>(D33-D32)</f>
        <v>3.7404328313475621E-4</v>
      </c>
      <c r="N33" s="78" t="s">
        <v>68</v>
      </c>
      <c r="O33" s="77" t="s">
        <v>34</v>
      </c>
      <c r="P33" s="77"/>
      <c r="Q33" s="77"/>
      <c r="R33" s="45"/>
      <c r="S33" s="45"/>
      <c r="T33" s="45" t="s">
        <v>39</v>
      </c>
    </row>
    <row r="34" spans="1:20" ht="15.75">
      <c r="A34" s="43">
        <v>3.39</v>
      </c>
      <c r="B34" s="72">
        <f>B23*A34</f>
        <v>1.1447068317451949E-4</v>
      </c>
      <c r="C34" s="45" t="s">
        <v>4</v>
      </c>
      <c r="D34" s="74">
        <f>C8</f>
        <v>1.4715053850136037E-2</v>
      </c>
      <c r="E34" s="78">
        <f>(D34-D28)</f>
        <v>4.2389430811208464E-3</v>
      </c>
      <c r="F34" s="78" t="s">
        <v>68</v>
      </c>
      <c r="G34" s="75">
        <f>(D34-D29)</f>
        <v>3.7182184311420619E-3</v>
      </c>
      <c r="H34" s="75" t="s">
        <v>68</v>
      </c>
      <c r="I34" s="75">
        <f>(D34-D30)</f>
        <v>3.6401445197401464E-3</v>
      </c>
      <c r="J34" s="75" t="s">
        <v>68</v>
      </c>
      <c r="K34" s="78">
        <f>(D34-D31)</f>
        <v>2.1517263672916533E-3</v>
      </c>
      <c r="L34" s="78" t="s">
        <v>68</v>
      </c>
      <c r="M34" s="78">
        <f>(D34-D32)</f>
        <v>1.1589544094693528E-3</v>
      </c>
      <c r="N34" s="78" t="s">
        <v>68</v>
      </c>
      <c r="O34" s="77">
        <f>(D34-D33)</f>
        <v>7.8491112633459655E-4</v>
      </c>
      <c r="P34" s="77" t="s">
        <v>68</v>
      </c>
      <c r="Q34" s="77" t="s">
        <v>34</v>
      </c>
      <c r="R34" s="45"/>
      <c r="S34" s="45"/>
      <c r="T34" s="45" t="s">
        <v>83</v>
      </c>
    </row>
    <row r="35" spans="1:20" ht="15.75">
      <c r="A35" s="43">
        <v>3.41</v>
      </c>
      <c r="B35" s="72">
        <f>B23*A35</f>
        <v>1.1514602643808597E-4</v>
      </c>
      <c r="C35" s="45" t="s">
        <v>3</v>
      </c>
      <c r="D35" s="74">
        <f>B8</f>
        <v>2.07058014798784E-2</v>
      </c>
      <c r="E35" s="78">
        <f>(D35-D28)</f>
        <v>1.022969071086321E-2</v>
      </c>
      <c r="F35" s="78" t="s">
        <v>68</v>
      </c>
      <c r="G35" s="75">
        <f>(D35-D29)</f>
        <v>9.7089660608844254E-3</v>
      </c>
      <c r="H35" s="75" t="s">
        <v>68</v>
      </c>
      <c r="I35" s="75">
        <f>(D35-D30)</f>
        <v>9.63089214948251E-3</v>
      </c>
      <c r="J35" s="75" t="s">
        <v>68</v>
      </c>
      <c r="K35" s="78">
        <f>(D35-D31)</f>
        <v>8.1424739970340169E-3</v>
      </c>
      <c r="L35" s="78" t="s">
        <v>68</v>
      </c>
      <c r="M35" s="78">
        <f>(D35-D32)</f>
        <v>7.1497020392117163E-3</v>
      </c>
      <c r="N35" s="78" t="s">
        <v>68</v>
      </c>
      <c r="O35" s="77">
        <f>(D35-D33)</f>
        <v>6.7756587560769601E-3</v>
      </c>
      <c r="P35" s="77" t="s">
        <v>68</v>
      </c>
      <c r="Q35" s="77">
        <f>(D35-D34)</f>
        <v>5.9907476297423636E-3</v>
      </c>
      <c r="R35" s="45" t="s">
        <v>68</v>
      </c>
      <c r="S35" s="45" t="s">
        <v>34</v>
      </c>
      <c r="T35" s="45" t="s">
        <v>84</v>
      </c>
    </row>
    <row r="37" spans="1:20" ht="15.75">
      <c r="B37" t="s">
        <v>81</v>
      </c>
      <c r="C37" s="81" t="s">
        <v>80</v>
      </c>
    </row>
    <row r="38" spans="1:20">
      <c r="B38" t="s">
        <v>3</v>
      </c>
      <c r="C38" s="80">
        <f>D35</f>
        <v>2.07058014798784E-2</v>
      </c>
    </row>
    <row r="39" spans="1:20">
      <c r="B39" t="s">
        <v>4</v>
      </c>
      <c r="C39" s="80">
        <f>D34</f>
        <v>1.4715053850136037E-2</v>
      </c>
    </row>
    <row r="40" spans="1:20">
      <c r="B40" t="s">
        <v>5</v>
      </c>
      <c r="C40" s="80">
        <f>D33</f>
        <v>1.393014272380144E-2</v>
      </c>
    </row>
    <row r="41" spans="1:20">
      <c r="B41" t="s">
        <v>6</v>
      </c>
      <c r="C41" s="80">
        <f>D32</f>
        <v>1.3556099440666684E-2</v>
      </c>
    </row>
    <row r="42" spans="1:20">
      <c r="B42" t="s">
        <v>7</v>
      </c>
      <c r="C42" s="80">
        <f>D31</f>
        <v>1.2563327482844383E-2</v>
      </c>
    </row>
    <row r="43" spans="1:20">
      <c r="B43" t="s">
        <v>8</v>
      </c>
      <c r="C43" s="80">
        <f>D30</f>
        <v>1.107490933039589E-2</v>
      </c>
    </row>
    <row r="44" spans="1:20">
      <c r="B44" t="s">
        <v>9</v>
      </c>
      <c r="C44" s="80">
        <f>D29</f>
        <v>1.0996835418993975E-2</v>
      </c>
    </row>
    <row r="45" spans="1:20">
      <c r="B45" t="s">
        <v>10</v>
      </c>
      <c r="C45" s="80">
        <f>D28</f>
        <v>1.047611076901519E-2</v>
      </c>
    </row>
    <row r="68" spans="1:14" ht="15.75">
      <c r="A68" s="120" t="s">
        <v>43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5.75">
      <c r="A69" s="67" t="s">
        <v>44</v>
      </c>
      <c r="B69" s="67" t="s">
        <v>45</v>
      </c>
      <c r="C69" s="67" t="s">
        <v>33</v>
      </c>
      <c r="D69" s="67" t="s">
        <v>72</v>
      </c>
      <c r="E69" s="67" t="s">
        <v>56</v>
      </c>
      <c r="F69" s="67" t="s">
        <v>57</v>
      </c>
      <c r="G69" s="67" t="s">
        <v>58</v>
      </c>
      <c r="H69" s="67" t="s">
        <v>73</v>
      </c>
      <c r="I69" s="67" t="s">
        <v>74</v>
      </c>
      <c r="J69" s="67" t="s">
        <v>17</v>
      </c>
      <c r="K69" s="67" t="s">
        <v>75</v>
      </c>
      <c r="L69" s="67" t="s">
        <v>77</v>
      </c>
      <c r="M69" s="59" t="s">
        <v>76</v>
      </c>
      <c r="N69" s="67" t="s">
        <v>78</v>
      </c>
    </row>
    <row r="70" spans="1:14" ht="15.75">
      <c r="A70" s="120">
        <v>1</v>
      </c>
      <c r="B70" s="120" t="s">
        <v>8</v>
      </c>
      <c r="C70" s="128" t="s">
        <v>49</v>
      </c>
      <c r="D70" s="67">
        <v>25</v>
      </c>
      <c r="E70" s="67">
        <v>16.52</v>
      </c>
      <c r="F70" s="67">
        <v>40.090000000000003</v>
      </c>
      <c r="G70" s="67">
        <f>40.96</f>
        <v>40.96</v>
      </c>
      <c r="H70" s="67">
        <v>5.45</v>
      </c>
      <c r="I70" s="67">
        <v>6.5</v>
      </c>
      <c r="J70" s="67">
        <v>1</v>
      </c>
      <c r="K70" s="67">
        <f>(F70-E70)/D70</f>
        <v>0.94280000000000019</v>
      </c>
      <c r="L70" s="67">
        <v>8.9370000000000005E-3</v>
      </c>
      <c r="M70" s="67">
        <f>(G70-E70)/D70</f>
        <v>0.97760000000000002</v>
      </c>
      <c r="N70" s="67">
        <f>((M70*I70)/(K70*H70)*L70)</f>
        <v>1.1052238072810637E-2</v>
      </c>
    </row>
    <row r="71" spans="1:14" ht="15.75">
      <c r="A71" s="120"/>
      <c r="B71" s="120"/>
      <c r="C71" s="128"/>
      <c r="D71" s="67">
        <v>25</v>
      </c>
      <c r="E71" s="67">
        <v>16.52</v>
      </c>
      <c r="F71" s="67">
        <v>40.090000000000003</v>
      </c>
      <c r="G71" s="67">
        <f>40.96</f>
        <v>40.96</v>
      </c>
      <c r="H71" s="67">
        <v>5.45</v>
      </c>
      <c r="I71" s="67">
        <v>6.51</v>
      </c>
      <c r="J71" s="67">
        <v>2</v>
      </c>
      <c r="K71" s="67">
        <f t="shared" ref="K71:K93" si="3">(F71-E71)/D71</f>
        <v>0.94280000000000019</v>
      </c>
      <c r="L71" s="67">
        <v>8.9370000000000005E-3</v>
      </c>
      <c r="M71" s="67">
        <f t="shared" ref="M71:M93" si="4">(G71-E71)/D71</f>
        <v>0.97760000000000002</v>
      </c>
      <c r="N71" s="67">
        <f t="shared" ref="N71:N93" si="5">((M71*I71)/(K71*H71)*L71)</f>
        <v>1.1069241515999575E-2</v>
      </c>
    </row>
    <row r="72" spans="1:14" ht="15.75">
      <c r="A72" s="120"/>
      <c r="B72" s="120"/>
      <c r="C72" s="128"/>
      <c r="D72" s="67">
        <v>25</v>
      </c>
      <c r="E72" s="67">
        <v>16.52</v>
      </c>
      <c r="F72" s="67">
        <v>40.090000000000003</v>
      </c>
      <c r="G72" s="67">
        <f>40.96</f>
        <v>40.96</v>
      </c>
      <c r="H72" s="67">
        <v>5.45</v>
      </c>
      <c r="I72" s="67">
        <v>6.53</v>
      </c>
      <c r="J72" s="67">
        <v>3</v>
      </c>
      <c r="K72" s="67">
        <f t="shared" si="3"/>
        <v>0.94280000000000019</v>
      </c>
      <c r="L72" s="67">
        <v>8.9370000000000005E-3</v>
      </c>
      <c r="M72" s="67">
        <f t="shared" si="4"/>
        <v>0.97760000000000002</v>
      </c>
      <c r="N72" s="67">
        <f t="shared" si="5"/>
        <v>1.1103248402377456E-2</v>
      </c>
    </row>
    <row r="73" spans="1:14" ht="15.75">
      <c r="A73" s="120">
        <v>2</v>
      </c>
      <c r="B73" s="120" t="s">
        <v>5</v>
      </c>
      <c r="C73" s="120">
        <v>152</v>
      </c>
      <c r="D73" s="67">
        <v>25</v>
      </c>
      <c r="E73" s="67">
        <v>16.52</v>
      </c>
      <c r="F73" s="67">
        <v>40.090000000000003</v>
      </c>
      <c r="G73" s="67">
        <f>41.59</f>
        <v>41.59</v>
      </c>
      <c r="H73" s="67">
        <v>5.45</v>
      </c>
      <c r="I73" s="67">
        <v>8.0299999999999994</v>
      </c>
      <c r="J73" s="67">
        <v>1</v>
      </c>
      <c r="K73" s="67">
        <f t="shared" si="3"/>
        <v>0.94280000000000019</v>
      </c>
      <c r="L73" s="67">
        <v>8.9370000000000005E-3</v>
      </c>
      <c r="M73" s="67">
        <f t="shared" si="4"/>
        <v>1.0028000000000001</v>
      </c>
      <c r="N73" s="67">
        <f t="shared" si="5"/>
        <v>1.4005723631735252E-2</v>
      </c>
    </row>
    <row r="74" spans="1:14" ht="15.75">
      <c r="A74" s="120"/>
      <c r="B74" s="120"/>
      <c r="C74" s="120"/>
      <c r="D74" s="67">
        <v>25</v>
      </c>
      <c r="E74" s="67">
        <v>16.52</v>
      </c>
      <c r="F74" s="67">
        <v>40.090000000000003</v>
      </c>
      <c r="G74" s="67">
        <f>41.59</f>
        <v>41.59</v>
      </c>
      <c r="H74" s="67">
        <v>5.45</v>
      </c>
      <c r="I74" s="67">
        <v>7.99</v>
      </c>
      <c r="J74" s="67">
        <v>2</v>
      </c>
      <c r="K74" s="67">
        <f t="shared" si="3"/>
        <v>0.94280000000000019</v>
      </c>
      <c r="L74" s="67">
        <v>8.9370000000000005E-3</v>
      </c>
      <c r="M74" s="67">
        <f t="shared" si="4"/>
        <v>1.0028000000000001</v>
      </c>
      <c r="N74" s="67">
        <f t="shared" si="5"/>
        <v>1.3935956639796349E-2</v>
      </c>
    </row>
    <row r="75" spans="1:14" ht="15.75">
      <c r="A75" s="120"/>
      <c r="B75" s="120"/>
      <c r="C75" s="120"/>
      <c r="D75" s="67">
        <v>25</v>
      </c>
      <c r="E75" s="67">
        <v>16.52</v>
      </c>
      <c r="F75" s="67">
        <v>40.090000000000003</v>
      </c>
      <c r="G75" s="67">
        <f>41.59</f>
        <v>41.59</v>
      </c>
      <c r="H75" s="67">
        <v>5.45</v>
      </c>
      <c r="I75" s="67">
        <v>7.94</v>
      </c>
      <c r="J75" s="67">
        <v>3</v>
      </c>
      <c r="K75" s="67">
        <f t="shared" si="3"/>
        <v>0.94280000000000019</v>
      </c>
      <c r="L75" s="67">
        <v>8.9370000000000005E-3</v>
      </c>
      <c r="M75" s="67">
        <f t="shared" si="4"/>
        <v>1.0028000000000001</v>
      </c>
      <c r="N75" s="67">
        <f t="shared" si="5"/>
        <v>1.3848747899872718E-2</v>
      </c>
    </row>
    <row r="76" spans="1:14" ht="15.75">
      <c r="A76" s="120">
        <v>3</v>
      </c>
      <c r="B76" s="120" t="s">
        <v>9</v>
      </c>
      <c r="C76" s="120">
        <v>433</v>
      </c>
      <c r="D76" s="67">
        <v>25</v>
      </c>
      <c r="E76" s="67">
        <v>16.52</v>
      </c>
      <c r="F76" s="67">
        <v>40.090000000000003</v>
      </c>
      <c r="G76" s="67">
        <f>40.9</f>
        <v>40.9</v>
      </c>
      <c r="H76" s="67">
        <v>5.45</v>
      </c>
      <c r="I76" s="67">
        <v>6.45</v>
      </c>
      <c r="J76" s="67">
        <v>1</v>
      </c>
      <c r="K76" s="67">
        <f t="shared" si="3"/>
        <v>0.94280000000000019</v>
      </c>
      <c r="L76" s="67">
        <v>8.9370000000000005E-3</v>
      </c>
      <c r="M76" s="67">
        <f t="shared" si="4"/>
        <v>0.97519999999999996</v>
      </c>
      <c r="N76" s="67">
        <f t="shared" si="5"/>
        <v>1.0940296419410458E-2</v>
      </c>
    </row>
    <row r="77" spans="1:14" ht="15.75">
      <c r="A77" s="120"/>
      <c r="B77" s="120"/>
      <c r="C77" s="120"/>
      <c r="D77" s="67">
        <v>25</v>
      </c>
      <c r="E77" s="67">
        <v>16.52</v>
      </c>
      <c r="F77" s="67">
        <v>40.090000000000003</v>
      </c>
      <c r="G77" s="67">
        <f>40.9</f>
        <v>40.9</v>
      </c>
      <c r="H77" s="67">
        <v>5.45</v>
      </c>
      <c r="I77" s="67">
        <v>6.5</v>
      </c>
      <c r="J77" s="67">
        <v>2</v>
      </c>
      <c r="K77" s="67">
        <f t="shared" si="3"/>
        <v>0.94280000000000019</v>
      </c>
      <c r="L77" s="67">
        <v>8.9370000000000005E-3</v>
      </c>
      <c r="M77" s="67">
        <f t="shared" si="4"/>
        <v>0.97519999999999996</v>
      </c>
      <c r="N77" s="67">
        <f t="shared" si="5"/>
        <v>1.1025104918785734E-2</v>
      </c>
    </row>
    <row r="78" spans="1:14" ht="15.75">
      <c r="A78" s="120"/>
      <c r="B78" s="120"/>
      <c r="C78" s="120"/>
      <c r="D78" s="67">
        <v>25</v>
      </c>
      <c r="E78" s="67">
        <v>16.52</v>
      </c>
      <c r="F78" s="67">
        <v>40.090000000000003</v>
      </c>
      <c r="G78" s="67">
        <f>40.9</f>
        <v>40.9</v>
      </c>
      <c r="H78" s="67">
        <v>5.45</v>
      </c>
      <c r="I78" s="67">
        <v>6.5</v>
      </c>
      <c r="J78" s="67">
        <v>3</v>
      </c>
      <c r="K78" s="67">
        <f t="shared" si="3"/>
        <v>0.94280000000000019</v>
      </c>
      <c r="L78" s="67">
        <v>8.9370000000000005E-3</v>
      </c>
      <c r="M78" s="67">
        <f t="shared" si="4"/>
        <v>0.97519999999999996</v>
      </c>
      <c r="N78" s="67">
        <f t="shared" si="5"/>
        <v>1.1025104918785734E-2</v>
      </c>
    </row>
    <row r="79" spans="1:14" ht="15.75">
      <c r="A79" s="120">
        <v>4</v>
      </c>
      <c r="B79" s="120" t="s">
        <v>6</v>
      </c>
      <c r="C79" s="120">
        <v>510</v>
      </c>
      <c r="D79" s="67">
        <v>25</v>
      </c>
      <c r="E79" s="67">
        <v>16.52</v>
      </c>
      <c r="F79" s="67">
        <v>40.090000000000003</v>
      </c>
      <c r="G79" s="67">
        <f>41.31</f>
        <v>41.31</v>
      </c>
      <c r="H79" s="67">
        <v>5.45</v>
      </c>
      <c r="I79" s="67">
        <v>7.9</v>
      </c>
      <c r="J79" s="67">
        <v>1</v>
      </c>
      <c r="K79" s="67">
        <f t="shared" si="3"/>
        <v>0.94280000000000019</v>
      </c>
      <c r="L79" s="67">
        <v>8.9370000000000005E-3</v>
      </c>
      <c r="M79" s="67">
        <f t="shared" si="4"/>
        <v>0.99160000000000015</v>
      </c>
      <c r="N79" s="67">
        <f t="shared" si="5"/>
        <v>1.3625087224079745E-2</v>
      </c>
    </row>
    <row r="80" spans="1:14" ht="15.75">
      <c r="A80" s="120"/>
      <c r="B80" s="120"/>
      <c r="C80" s="120"/>
      <c r="D80" s="67">
        <v>25</v>
      </c>
      <c r="E80" s="67">
        <v>16.52</v>
      </c>
      <c r="F80" s="67">
        <v>40.090000000000003</v>
      </c>
      <c r="G80" s="67">
        <f>41.31</f>
        <v>41.31</v>
      </c>
      <c r="H80" s="67">
        <v>5.45</v>
      </c>
      <c r="I80" s="67">
        <v>7.83</v>
      </c>
      <c r="J80" s="67">
        <v>2</v>
      </c>
      <c r="K80" s="67">
        <f t="shared" si="3"/>
        <v>0.94280000000000019</v>
      </c>
      <c r="L80" s="67">
        <v>8.9370000000000005E-3</v>
      </c>
      <c r="M80" s="67">
        <f t="shared" si="4"/>
        <v>0.99160000000000015</v>
      </c>
      <c r="N80" s="67">
        <f t="shared" si="5"/>
        <v>1.3504358603106887E-2</v>
      </c>
    </row>
    <row r="81" spans="1:14" ht="15.75">
      <c r="A81" s="120"/>
      <c r="B81" s="120"/>
      <c r="C81" s="120"/>
      <c r="D81" s="67">
        <v>25</v>
      </c>
      <c r="E81" s="67">
        <v>16.52</v>
      </c>
      <c r="F81" s="67">
        <v>40.090000000000003</v>
      </c>
      <c r="G81" s="67">
        <f>41.31</f>
        <v>41.31</v>
      </c>
      <c r="H81" s="67">
        <v>5.45</v>
      </c>
      <c r="I81" s="67">
        <v>7.85</v>
      </c>
      <c r="J81" s="67">
        <v>3</v>
      </c>
      <c r="K81" s="67">
        <f t="shared" si="3"/>
        <v>0.94280000000000019</v>
      </c>
      <c r="L81" s="67">
        <v>8.9370000000000005E-3</v>
      </c>
      <c r="M81" s="67">
        <f t="shared" si="4"/>
        <v>0.99160000000000015</v>
      </c>
      <c r="N81" s="67">
        <f t="shared" si="5"/>
        <v>1.3538852494813418E-2</v>
      </c>
    </row>
    <row r="82" spans="1:14" ht="15.75">
      <c r="A82" s="120">
        <v>5</v>
      </c>
      <c r="B82" s="120" t="s">
        <v>3</v>
      </c>
      <c r="C82" s="120">
        <v>714</v>
      </c>
      <c r="D82" s="67">
        <v>25</v>
      </c>
      <c r="E82" s="67">
        <v>16.52</v>
      </c>
      <c r="F82" s="67">
        <v>40.090000000000003</v>
      </c>
      <c r="G82" s="67">
        <f>42.62</f>
        <v>42.62</v>
      </c>
      <c r="H82" s="67">
        <v>5.45</v>
      </c>
      <c r="I82" s="67">
        <v>11.38</v>
      </c>
      <c r="J82" s="67">
        <v>1</v>
      </c>
      <c r="K82" s="67">
        <f t="shared" si="3"/>
        <v>0.94280000000000019</v>
      </c>
      <c r="L82" s="67">
        <v>8.9370000000000005E-3</v>
      </c>
      <c r="M82" s="67">
        <f t="shared" si="4"/>
        <v>1.0439999999999998</v>
      </c>
      <c r="N82" s="67">
        <f t="shared" si="5"/>
        <v>2.0664192672227556E-2</v>
      </c>
    </row>
    <row r="83" spans="1:14" ht="15.75">
      <c r="A83" s="120"/>
      <c r="B83" s="120"/>
      <c r="C83" s="120"/>
      <c r="D83" s="67">
        <v>25</v>
      </c>
      <c r="E83" s="67">
        <v>16.52</v>
      </c>
      <c r="F83" s="67">
        <v>40.090000000000003</v>
      </c>
      <c r="G83" s="67">
        <f>42.63</f>
        <v>42.63</v>
      </c>
      <c r="H83" s="67">
        <v>5.45</v>
      </c>
      <c r="I83" s="67">
        <v>11.39</v>
      </c>
      <c r="J83" s="67">
        <v>2</v>
      </c>
      <c r="K83" s="67">
        <f t="shared" si="3"/>
        <v>0.94280000000000019</v>
      </c>
      <c r="L83" s="67">
        <v>8.9370000000000005E-3</v>
      </c>
      <c r="M83" s="67">
        <f t="shared" si="4"/>
        <v>1.0444000000000002</v>
      </c>
      <c r="N83" s="67">
        <f t="shared" si="5"/>
        <v>2.0690275286186374E-2</v>
      </c>
    </row>
    <row r="84" spans="1:14" ht="15.75">
      <c r="A84" s="120"/>
      <c r="B84" s="120"/>
      <c r="C84" s="120"/>
      <c r="D84" s="67">
        <v>25</v>
      </c>
      <c r="E84" s="67">
        <v>16.52</v>
      </c>
      <c r="F84" s="67">
        <v>40.090000000000003</v>
      </c>
      <c r="G84" s="67">
        <f>42.63</f>
        <v>42.63</v>
      </c>
      <c r="H84" s="67">
        <v>5.45</v>
      </c>
      <c r="I84" s="67">
        <v>11.43</v>
      </c>
      <c r="J84" s="67">
        <v>3</v>
      </c>
      <c r="K84" s="67">
        <f t="shared" si="3"/>
        <v>0.94280000000000019</v>
      </c>
      <c r="L84" s="67">
        <v>8.9370000000000005E-3</v>
      </c>
      <c r="M84" s="67">
        <f t="shared" si="4"/>
        <v>1.0444000000000002</v>
      </c>
      <c r="N84" s="67">
        <f t="shared" si="5"/>
        <v>2.0762936481221267E-2</v>
      </c>
    </row>
    <row r="85" spans="1:14" ht="15.75">
      <c r="A85" s="120">
        <v>6</v>
      </c>
      <c r="B85" s="120" t="s">
        <v>10</v>
      </c>
      <c r="C85" s="120">
        <v>745</v>
      </c>
      <c r="D85" s="67">
        <v>25</v>
      </c>
      <c r="E85" s="67">
        <v>16.52</v>
      </c>
      <c r="F85" s="67">
        <v>40.090000000000003</v>
      </c>
      <c r="G85" s="67">
        <f>40.82</f>
        <v>40.82</v>
      </c>
      <c r="H85" s="67">
        <v>5.45</v>
      </c>
      <c r="I85" s="67">
        <v>6.24</v>
      </c>
      <c r="J85" s="67">
        <v>1</v>
      </c>
      <c r="K85" s="67">
        <f t="shared" si="3"/>
        <v>0.94280000000000019</v>
      </c>
      <c r="L85" s="67">
        <v>8.9370000000000005E-3</v>
      </c>
      <c r="M85" s="67">
        <f t="shared" si="4"/>
        <v>0.97199999999999998</v>
      </c>
      <c r="N85" s="67">
        <f t="shared" si="5"/>
        <v>1.0549370284882429E-2</v>
      </c>
    </row>
    <row r="86" spans="1:14" ht="15.75">
      <c r="A86" s="120"/>
      <c r="B86" s="120"/>
      <c r="C86" s="120"/>
      <c r="D86" s="67">
        <v>25</v>
      </c>
      <c r="E86" s="67">
        <v>16.52</v>
      </c>
      <c r="F86" s="67">
        <v>40.090000000000003</v>
      </c>
      <c r="G86" s="67">
        <f>40.82</f>
        <v>40.82</v>
      </c>
      <c r="H86" s="67">
        <v>5.45</v>
      </c>
      <c r="I86" s="67">
        <v>6.2</v>
      </c>
      <c r="J86" s="67">
        <v>2</v>
      </c>
      <c r="K86" s="67">
        <f t="shared" si="3"/>
        <v>0.94280000000000019</v>
      </c>
      <c r="L86" s="67">
        <v>8.9370000000000005E-3</v>
      </c>
      <c r="M86" s="67">
        <f t="shared" si="4"/>
        <v>0.97199999999999998</v>
      </c>
      <c r="N86" s="67">
        <f t="shared" si="5"/>
        <v>1.0481746116389593E-2</v>
      </c>
    </row>
    <row r="87" spans="1:14" ht="15.75">
      <c r="A87" s="120"/>
      <c r="B87" s="120"/>
      <c r="C87" s="120"/>
      <c r="D87" s="67">
        <v>25</v>
      </c>
      <c r="E87" s="67">
        <v>16.52</v>
      </c>
      <c r="F87" s="67">
        <v>40.090000000000003</v>
      </c>
      <c r="G87" s="67">
        <f>40.82</f>
        <v>40.82</v>
      </c>
      <c r="H87" s="67">
        <v>5.45</v>
      </c>
      <c r="I87" s="67">
        <v>6.15</v>
      </c>
      <c r="J87" s="67">
        <v>3</v>
      </c>
      <c r="K87" s="67">
        <f t="shared" si="3"/>
        <v>0.94280000000000019</v>
      </c>
      <c r="L87" s="67">
        <v>8.9370000000000005E-3</v>
      </c>
      <c r="M87" s="67">
        <f t="shared" si="4"/>
        <v>0.97199999999999998</v>
      </c>
      <c r="N87" s="67">
        <f t="shared" si="5"/>
        <v>1.0397215905773548E-2</v>
      </c>
    </row>
    <row r="88" spans="1:14" ht="15.75">
      <c r="A88" s="120">
        <v>7</v>
      </c>
      <c r="B88" s="120" t="s">
        <v>4</v>
      </c>
      <c r="C88" s="120">
        <v>794</v>
      </c>
      <c r="D88" s="67">
        <v>25</v>
      </c>
      <c r="E88" s="67">
        <v>16.52</v>
      </c>
      <c r="F88" s="67">
        <v>40.090000000000003</v>
      </c>
      <c r="G88" s="67">
        <f>42.02</f>
        <v>42.02</v>
      </c>
      <c r="H88" s="67">
        <v>5.45</v>
      </c>
      <c r="I88" s="67">
        <v>8.2899999999999991</v>
      </c>
      <c r="J88" s="67">
        <v>1</v>
      </c>
      <c r="K88" s="67">
        <f t="shared" si="3"/>
        <v>0.94280000000000019</v>
      </c>
      <c r="L88" s="67">
        <v>8.9370000000000005E-3</v>
      </c>
      <c r="M88" s="67">
        <f t="shared" si="4"/>
        <v>1.0200000000000002</v>
      </c>
      <c r="N88" s="67">
        <f t="shared" si="5"/>
        <v>1.4707213064344738E-2</v>
      </c>
    </row>
    <row r="89" spans="1:14" ht="15.75">
      <c r="A89" s="120"/>
      <c r="B89" s="120"/>
      <c r="C89" s="120"/>
      <c r="D89" s="67">
        <v>25</v>
      </c>
      <c r="E89" s="67">
        <v>16.52</v>
      </c>
      <c r="F89" s="67">
        <v>40.090000000000003</v>
      </c>
      <c r="G89" s="67">
        <f>42.02</f>
        <v>42.02</v>
      </c>
      <c r="H89" s="67">
        <v>5.45</v>
      </c>
      <c r="I89" s="67">
        <v>8.2799999999999994</v>
      </c>
      <c r="J89" s="67">
        <v>2</v>
      </c>
      <c r="K89" s="67">
        <f t="shared" si="3"/>
        <v>0.94280000000000019</v>
      </c>
      <c r="L89" s="67">
        <v>8.9370000000000005E-3</v>
      </c>
      <c r="M89" s="67">
        <f t="shared" si="4"/>
        <v>1.0200000000000002</v>
      </c>
      <c r="N89" s="67">
        <f t="shared" si="5"/>
        <v>1.4689472155943838E-2</v>
      </c>
    </row>
    <row r="90" spans="1:14" ht="15.75">
      <c r="A90" s="120"/>
      <c r="B90" s="120"/>
      <c r="C90" s="120"/>
      <c r="D90" s="67">
        <v>25</v>
      </c>
      <c r="E90" s="67">
        <v>16.52</v>
      </c>
      <c r="F90" s="67">
        <v>40.090000000000003</v>
      </c>
      <c r="G90" s="67">
        <f>42.03</f>
        <v>42.03</v>
      </c>
      <c r="H90" s="67">
        <v>5.45</v>
      </c>
      <c r="I90" s="67">
        <v>8.31</v>
      </c>
      <c r="J90" s="67">
        <v>3</v>
      </c>
      <c r="K90" s="67">
        <f t="shared" si="3"/>
        <v>0.94280000000000019</v>
      </c>
      <c r="L90" s="67">
        <v>8.9370000000000005E-3</v>
      </c>
      <c r="M90" s="67">
        <f t="shared" si="4"/>
        <v>1.0204</v>
      </c>
      <c r="N90" s="67">
        <f t="shared" si="5"/>
        <v>1.4748476330119531E-2</v>
      </c>
    </row>
    <row r="91" spans="1:14" ht="15.75">
      <c r="A91" s="120">
        <v>8</v>
      </c>
      <c r="B91" s="120" t="s">
        <v>7</v>
      </c>
      <c r="C91" s="120">
        <v>855</v>
      </c>
      <c r="D91" s="67">
        <v>25</v>
      </c>
      <c r="E91" s="67">
        <v>16.52</v>
      </c>
      <c r="F91" s="67">
        <v>40.090000000000003</v>
      </c>
      <c r="G91" s="67">
        <f>41.13</f>
        <v>41.13</v>
      </c>
      <c r="H91" s="67">
        <v>5.45</v>
      </c>
      <c r="I91" s="67">
        <v>7.33</v>
      </c>
      <c r="J91" s="67">
        <v>1</v>
      </c>
      <c r="K91" s="67">
        <f t="shared" si="3"/>
        <v>0.94280000000000019</v>
      </c>
      <c r="L91" s="67">
        <v>8.9370000000000005E-3</v>
      </c>
      <c r="M91" s="67">
        <f t="shared" si="4"/>
        <v>0.98440000000000016</v>
      </c>
      <c r="N91" s="67">
        <f t="shared" si="5"/>
        <v>1.255021776321167E-2</v>
      </c>
    </row>
    <row r="92" spans="1:14" ht="15.75">
      <c r="A92" s="120"/>
      <c r="B92" s="120"/>
      <c r="C92" s="120"/>
      <c r="D92" s="67">
        <v>25</v>
      </c>
      <c r="E92" s="67">
        <v>16.52</v>
      </c>
      <c r="F92" s="67">
        <v>40.090000000000003</v>
      </c>
      <c r="G92" s="67">
        <f>41.14</f>
        <v>41.14</v>
      </c>
      <c r="H92" s="67">
        <v>5.45</v>
      </c>
      <c r="I92" s="67">
        <v>7.31</v>
      </c>
      <c r="J92" s="67">
        <v>2</v>
      </c>
      <c r="K92" s="67">
        <f t="shared" si="3"/>
        <v>0.94280000000000019</v>
      </c>
      <c r="L92" s="67">
        <v>8.9370000000000005E-3</v>
      </c>
      <c r="M92" s="67">
        <f t="shared" si="4"/>
        <v>0.98480000000000001</v>
      </c>
      <c r="N92" s="67">
        <f t="shared" si="5"/>
        <v>1.2521060058463367E-2</v>
      </c>
    </row>
    <row r="93" spans="1:14" ht="15.75">
      <c r="A93" s="120"/>
      <c r="B93" s="120"/>
      <c r="C93" s="120"/>
      <c r="D93" s="67">
        <v>25</v>
      </c>
      <c r="E93" s="67">
        <v>16.52</v>
      </c>
      <c r="F93" s="67">
        <v>40.090000000000003</v>
      </c>
      <c r="G93" s="67">
        <f>41.13</f>
        <v>41.13</v>
      </c>
      <c r="H93" s="67">
        <v>5.45</v>
      </c>
      <c r="I93" s="67">
        <v>7.37</v>
      </c>
      <c r="J93" s="67">
        <v>3</v>
      </c>
      <c r="K93" s="67">
        <f t="shared" si="3"/>
        <v>0.94280000000000019</v>
      </c>
      <c r="L93" s="67">
        <v>8.9370000000000005E-3</v>
      </c>
      <c r="M93" s="67">
        <f t="shared" si="4"/>
        <v>0.98440000000000016</v>
      </c>
      <c r="N93" s="67">
        <f t="shared" si="5"/>
        <v>1.2618704626858119E-2</v>
      </c>
    </row>
  </sheetData>
  <mergeCells count="34">
    <mergeCell ref="T26:T27"/>
    <mergeCell ref="A2:A3"/>
    <mergeCell ref="B2:I2"/>
    <mergeCell ref="J2:J3"/>
    <mergeCell ref="A26:A27"/>
    <mergeCell ref="B26:B27"/>
    <mergeCell ref="C26:C27"/>
    <mergeCell ref="D26:D27"/>
    <mergeCell ref="E26:S26"/>
    <mergeCell ref="A68:N68"/>
    <mergeCell ref="A70:A72"/>
    <mergeCell ref="B70:B72"/>
    <mergeCell ref="C70:C72"/>
    <mergeCell ref="A73:A75"/>
    <mergeCell ref="B73:B75"/>
    <mergeCell ref="C73:C75"/>
    <mergeCell ref="A76:A78"/>
    <mergeCell ref="B76:B78"/>
    <mergeCell ref="C76:C78"/>
    <mergeCell ref="A79:A81"/>
    <mergeCell ref="B79:B81"/>
    <mergeCell ref="C79:C81"/>
    <mergeCell ref="A82:A84"/>
    <mergeCell ref="B82:B84"/>
    <mergeCell ref="C82:C84"/>
    <mergeCell ref="A85:A87"/>
    <mergeCell ref="B85:B87"/>
    <mergeCell ref="C85:C87"/>
    <mergeCell ref="A88:A90"/>
    <mergeCell ref="B88:B90"/>
    <mergeCell ref="C88:C90"/>
    <mergeCell ref="A91:A93"/>
    <mergeCell ref="B91:B93"/>
    <mergeCell ref="C91:C9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Alkohol</vt:lpstr>
      <vt:lpstr>Vit C</vt:lpstr>
      <vt:lpstr>Alkohollic</vt:lpstr>
      <vt:lpstr>viskositas</vt:lpstr>
      <vt:lpstr>visco 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2012-04-10T16:57:56Z</dcterms:created>
  <dcterms:modified xsi:type="dcterms:W3CDTF">2012-04-22T08:03:06Z</dcterms:modified>
</cp:coreProperties>
</file>